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5iqFl8DmtTOQiu+UqJU4JJ7RrzglDketXkAXE2rWQlMg8MmU7fwDJEG0LZVKcAl1l7lGAoLFgplzmKklmOClkQ==" workbookSaltValue="n1FBQcFJRrwTs+w3GT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AT18" i="17"/>
  <c r="N10" i="11"/>
  <c r="N9" i="11"/>
  <c r="T10" i="21"/>
  <c r="F10" i="10"/>
  <c r="N11" i="11"/>
  <c r="ES19" i="8"/>
  <c r="S19" i="13"/>
  <c r="AG19" i="19"/>
  <c r="F9" i="11"/>
  <c r="CI19" i="8"/>
  <c r="AE19" i="8"/>
  <c r="F17" i="16"/>
  <c r="BL17" i="16" s="1"/>
  <c r="EP19" i="8"/>
  <c r="ER19" i="13"/>
  <c r="AL13" i="16"/>
  <c r="S13" i="16"/>
  <c r="H18" i="16"/>
  <c r="P13" i="16"/>
  <c r="AN13" i="20"/>
  <c r="F15" i="17"/>
  <c r="Z13" i="17"/>
  <c r="F17" i="17"/>
  <c r="AQ17" i="17" s="1"/>
  <c r="AL11" i="11"/>
  <c r="AC10" i="11"/>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X12" i="17"/>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X20" i="20"/>
  <c r="X20" i="20"/>
  <c r="O16" i="11"/>
  <c r="T20" i="20"/>
  <c r="I20" i="20"/>
  <c r="AD20" i="20"/>
  <c r="M20" i="20"/>
  <c r="W20" i="21"/>
  <c r="W20" i="20"/>
  <c r="AI20" i="20"/>
  <c r="AG20" i="20"/>
  <c r="AU20" i="20"/>
  <c r="Y20" i="20"/>
  <c r="O20" i="20"/>
  <c r="AH20" i="20"/>
  <c r="Q20" i="20"/>
  <c r="N20" i="20"/>
  <c r="T20" i="21"/>
  <c r="AO20" i="20"/>
  <c r="Z20" i="20"/>
  <c r="C18" i="7" l="1"/>
  <c r="B18" i="2"/>
  <c r="BG15" i="8"/>
  <c r="AW18" i="21"/>
  <c r="H13" i="12"/>
  <c r="B12" i="6"/>
  <c r="BD12" i="8"/>
  <c r="Y11" i="11"/>
  <c r="Z19" i="8"/>
  <c r="BG10" i="8"/>
  <c r="AL10" i="11"/>
  <c r="AB19" i="8"/>
  <c r="AH13" i="16"/>
  <c r="AH19" i="16" s="1"/>
  <c r="BE9" i="8"/>
  <c r="AO16" i="11"/>
  <c r="AO12" i="11"/>
  <c r="H12" i="7"/>
  <c r="AO9" i="11"/>
  <c r="C11" i="6"/>
  <c r="L12" i="14"/>
  <c r="B17" i="6"/>
  <c r="B16" i="6"/>
  <c r="C17" i="6"/>
  <c r="M13" i="2"/>
  <c r="E11" i="6"/>
  <c r="AO17" i="11"/>
  <c r="E15" i="6"/>
  <c r="K15" i="12" s="1"/>
  <c r="E9" i="6"/>
  <c r="H12" i="2"/>
  <c r="M18" i="2"/>
  <c r="N18" i="2"/>
  <c r="B9" i="6"/>
  <c r="F11" i="11"/>
  <c r="AQ11" i="11" s="1"/>
  <c r="C10" i="6"/>
  <c r="BD15" i="8"/>
  <c r="H15" i="7" s="1"/>
  <c r="BE15" i="8"/>
  <c r="I15" i="7" s="1"/>
  <c r="BG16" i="8"/>
  <c r="E18" i="2"/>
  <c r="F18" i="2" s="1"/>
  <c r="AL15" i="11"/>
  <c r="L16" i="14"/>
  <c r="F15" i="11"/>
  <c r="AQ15" i="11" s="1"/>
  <c r="F16" i="17"/>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AO15" i="11"/>
  <c r="C16" i="6"/>
  <c r="BI16" i="16"/>
  <c r="H17" i="7"/>
  <c r="AN11" i="11"/>
  <c r="D9" i="6"/>
  <c r="J9" i="12" s="1"/>
  <c r="C9" i="6"/>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R20" i="16"/>
  <c r="BP20" i="16"/>
  <c r="U17" i="11"/>
  <c r="O10" i="11"/>
  <c r="AU20" i="17"/>
  <c r="I17" i="12" l="1"/>
  <c r="B19" i="7"/>
  <c r="AL18" i="11"/>
  <c r="I15" i="12"/>
  <c r="F18" i="11"/>
  <c r="K12" i="12"/>
  <c r="F19" i="7"/>
  <c r="BE13" i="8"/>
  <c r="I10" i="12"/>
  <c r="I9" i="12"/>
  <c r="K9" i="12"/>
  <c r="H13" i="2"/>
  <c r="BK13" i="11"/>
  <c r="P12" i="11"/>
  <c r="BW21" i="20"/>
  <c r="BH18" i="11"/>
  <c r="G21" i="11"/>
  <c r="AM13" i="11"/>
  <c r="Y13" i="11"/>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<sst xmlns="http://schemas.openxmlformats.org/spreadsheetml/2006/main" count="2074" uniqueCount="909">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</sst>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a2Jg0xVyalVT7tgHEWOIcjhykWTyGMDGGwf6iDYPt6RUkGEOLlC1rhTnkqrqQPhqFPDS07x9a3CjRarzpHxpA==" saltValue="z9OLGRIqbjdvNFttbSMG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4.1646900872678456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137</v>
      </c>
      <c r="D10" s="224">
        <f>IF(ISNUMBER(Datos!I10),Datos!I10," - ")</f>
        <v>137</v>
      </c>
      <c r="E10" s="225">
        <f>IF(ISNUMBER(Datos!J10),Datos!J10," - ")</f>
        <v>58</v>
      </c>
      <c r="F10" s="225">
        <f>IF(ISNUMBER(Datos!K10),Datos!K10," - ")</f>
        <v>34</v>
      </c>
      <c r="G10" s="1033" t="str">
        <f>IF(Datos!E10&lt;&gt;"",Datos!E10,Datos!D10)</f>
        <v>37</v>
      </c>
      <c r="H10" s="226">
        <f>IF(ISNUMBER(Datos!L10),Datos!L10," - ")</f>
        <v>161</v>
      </c>
      <c r="I10" s="1043" t="str">
        <f>IF(ISNUMBER(Datos!AS10/Datos!BM10),Datos!AS10/Datos!BM10," - ")</f>
        <v xml:space="preserve"> - </v>
      </c>
      <c r="J10" s="1044">
        <f>IF(ISNUMBER(Datos!BY10/Datos!CN10),Datos!BY10/Datos!CN10," - ")</f>
        <v>0</v>
      </c>
      <c r="K10" s="229">
        <f t="shared" ref="K10:K12" si="1">IF(ISNUMBER((E10-F10)/C10),(E10-F10)/C10," - ")</f>
        <v>0.17518248175182483</v>
      </c>
      <c r="L10" s="1024">
        <f>IF(ISNUMBER(NºAsuntos!I10/NºAsuntos!G10),(NºAsuntos!I10/NºAsuntos!G10)*11," - ")</f>
        <v>52.088235294117645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3.8713066316480633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24.61904761904762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137</v>
      </c>
      <c r="D13" s="1048">
        <f>SUBTOTAL(9,D9:D12)</f>
        <v>137</v>
      </c>
      <c r="E13" s="1049">
        <f>SUBTOTAL(9,E9:E12)</f>
        <v>58</v>
      </c>
      <c r="F13" s="1050">
        <f>SUBTOTAL(9,F9:F12)</f>
        <v>34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2101</v>
      </c>
      <c r="D15" s="224">
        <f>IF(ISNUMBER(IF(D_I="SI",Datos!I15,Datos!I15+Datos!AC15)),IF(D_I="SI",Datos!I15,Datos!I15+Datos!AC15)," - ")</f>
        <v>2929</v>
      </c>
      <c r="E15" s="225">
        <f>IF(ISNUMBER(IF(D_I="SI",Datos!J15,Datos!J15+Datos!AD15)),IF(D_I="SI",Datos!J15,Datos!J15+Datos!AD15)," - ")</f>
        <v>4974</v>
      </c>
      <c r="F15" s="225">
        <f>IF(ISNUMBER(IF(D_I="SI",Datos!K15,Datos!K15+Datos!AE15)),IF(D_I="SI",Datos!K15,Datos!K15+Datos!AE15)," - ")</f>
        <v>4722</v>
      </c>
      <c r="G15" s="1033" t="str">
        <f>IF(Datos!E15&lt;&gt;"",Datos!E15,Datos!D15)</f>
        <v>03</v>
      </c>
      <c r="H15" s="226">
        <f>IF(ISNUMBER(IF(D_I="SI",Datos!L15,Datos!L15+Datos!AF15)),IF(D_I="SI",Datos!L15,Datos!L15+Datos!AF15)," - ")</f>
        <v>2353</v>
      </c>
      <c r="I15" s="1043" t="str">
        <f>IF(ISNUMBER(Datos!AS15/Datos!BM15),Datos!AS15/Datos!BM15," - ")</f>
        <v xml:space="preserve"> - </v>
      </c>
      <c r="J15" s="1044">
        <f>IF(ISNUMBER(Datos!BY15/Datos!CN15),Datos!BY15/Datos!CN15," - ")</f>
        <v>0</v>
      </c>
      <c r="K15" s="229">
        <f t="shared" ref="K15:K17" si="3">IF(ISNUMBER((E15-F15)/C15),(E15-F15)/C15," - ")</f>
        <v>0.1199428843407901</v>
      </c>
      <c r="L15" s="1024">
        <f>IF(ISNUMBER(NºAsuntos!I15/NºAsuntos!G15),(NºAsuntos!I15/NºAsuntos!G15)*11," - ")</f>
        <v>5.4813638288860655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192</v>
      </c>
      <c r="D17" s="224">
        <f>IF(ISNUMBER(IF(D_I="SI",Datos!I17,Datos!I17+Datos!AC17)),IF(D_I="SI",Datos!I17,Datos!I17+Datos!AC17)," - ")</f>
        <v>212</v>
      </c>
      <c r="E17" s="225">
        <f>IF(ISNUMBER(IF(D_I="SI",Datos!J17,Datos!J17+Datos!AD17)),IF(D_I="SI",Datos!J17,Datos!J17+Datos!AD17)," - ")</f>
        <v>629</v>
      </c>
      <c r="F17" s="225">
        <f>IF(ISNUMBER(IF(D_I="SI",Datos!K17,Datos!K17+Datos!AE17)),IF(D_I="SI",Datos!K17,Datos!K17+Datos!AE17)," - ")</f>
        <v>570</v>
      </c>
      <c r="G17" s="1033" t="str">
        <f>IF(Datos!E17&lt;&gt;"",Datos!E17,Datos!D17)</f>
        <v>37</v>
      </c>
      <c r="H17" s="226">
        <f>IF(ISNUMBER(IF(D_I="SI",Datos!L17,Datos!L17+Datos!AF17)),IF(D_I="SI",Datos!L17,Datos!L17+Datos!AF17)," - ")</f>
        <v>251</v>
      </c>
      <c r="I17" s="1043" t="str">
        <f>IF(ISNUMBER(Datos!AS17/Datos!BM17),Datos!AS17/Datos!BM17," - ")</f>
        <v xml:space="preserve"> - </v>
      </c>
      <c r="J17" s="1044" t="str">
        <f>IF(ISNUMBER((Datos!BY17+Datos!BZ17)/Datos!CN17),(Datos!BY17+Datos!BZ17)/Datos!CN17," - ")</f>
        <v xml:space="preserve"> - </v>
      </c>
      <c r="K17" s="229">
        <f t="shared" si="3"/>
        <v>0.30729166666666669</v>
      </c>
      <c r="L17" s="1024">
        <f>IF(ISNUMBER(NºAsuntos!I17/NºAsuntos!G17),(NºAsuntos!I17/NºAsuntos!G17)*11," - ")</f>
        <v>4.8438596491228072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2293</v>
      </c>
      <c r="D18" s="1048">
        <f>SUBTOTAL(9,D15:D17)</f>
        <v>3141</v>
      </c>
      <c r="E18" s="1049">
        <f>SUBTOTAL(9,E15:E17)</f>
        <v>5603</v>
      </c>
      <c r="F18" s="1049">
        <f>SUBTOTAL(9,F15:F17)</f>
        <v>5292</v>
      </c>
      <c r="G18" s="1051" t="str">
        <f ca="1">INDIRECT(CONCATENATE("G",ROW()-1))</f>
        <v>37</v>
      </c>
      <c r="H18" s="1052">
        <f ca="1">SUMIF(G$14:G17,G18,H$14:H17)</f>
        <v>251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2430</v>
      </c>
      <c r="D19" s="1070">
        <f>SUBTOTAL(9,D9:D18)</f>
        <v>3278</v>
      </c>
      <c r="E19" s="1071">
        <f>SUBTOTAL(9,E9:E18)</f>
        <v>5661</v>
      </c>
      <c r="F19" s="1071">
        <f>SUBTOTAL(9,F9:F18)</f>
        <v>5326</v>
      </c>
      <c r="G19" s="1072"/>
      <c r="H19" s="1073">
        <f ca="1">SUMIF(B9:B18,"TOTAL",H9:H18)</f>
        <v>251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zh/8IKkliCF8bUeOONf+2jHz7hvxvtcCX8FWrN112KyAeKn708Z6ocrmUIdFo50x7ljRo6x3wHbaw4I5xWoXHg==" saltValue="5fiQCkMRIfudp8W/sIf/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UTOS7b+t+YqVXFnkdqe2tDgo2lHbpBEzdbUR6xSpsxhLB/TkimhOGN34MzEBI9Tfa0Ikm8o1ty/ANyMcDDIDKA==" saltValue="BQP/egUIXVLFhxH7dOEF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3883</v>
      </c>
      <c r="J9" s="180">
        <v>7331</v>
      </c>
      <c r="K9" s="180">
        <v>8122</v>
      </c>
      <c r="L9" s="180">
        <v>3280</v>
      </c>
      <c r="M9" s="180">
        <v>2587</v>
      </c>
      <c r="N9" s="180">
        <v>3181</v>
      </c>
      <c r="O9" s="180">
        <v>3721</v>
      </c>
      <c r="P9" s="180">
        <v>2420</v>
      </c>
      <c r="Q9" s="180">
        <v>1570</v>
      </c>
      <c r="R9" s="180">
        <v>8396</v>
      </c>
      <c r="S9" s="180">
        <v>3426</v>
      </c>
      <c r="T9" s="180">
        <v>8188</v>
      </c>
      <c r="U9" s="180">
        <v>7731</v>
      </c>
      <c r="V9" s="180">
        <v>3883</v>
      </c>
      <c r="W9" s="180">
        <v>2641</v>
      </c>
      <c r="X9" s="187">
        <v>2946</v>
      </c>
      <c r="Y9" s="190">
        <v>68</v>
      </c>
      <c r="Z9" s="180">
        <v>855</v>
      </c>
      <c r="AA9" s="180">
        <v>816</v>
      </c>
      <c r="AB9" s="180">
        <v>104</v>
      </c>
      <c r="AC9" s="180">
        <v>0</v>
      </c>
      <c r="AD9" s="180">
        <v>0</v>
      </c>
      <c r="AE9" s="180">
        <v>0</v>
      </c>
      <c r="AF9" s="187">
        <v>0</v>
      </c>
      <c r="AG9" s="190">
        <v>166</v>
      </c>
      <c r="AH9" s="180">
        <v>721</v>
      </c>
      <c r="AI9" s="180">
        <v>819</v>
      </c>
      <c r="AJ9" s="191">
        <v>68</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3592</v>
      </c>
      <c r="AZ9" s="123">
        <f>IF(ISNUMBER(IF(J_V="SI",T9,T9+AH9)),IF(J_V="SI",T9,T9+AH9)," - ")</f>
        <v>8909</v>
      </c>
      <c r="BA9" s="124">
        <f>IF(ISNUMBER(IF(J_V="SI",U9,U9+AI9)),IF(J_V="SI",U9,U9+AI9)," - ")</f>
        <v>8550</v>
      </c>
      <c r="BB9" s="124">
        <f>IF(ISNUMBER(IF(J_V="SI",V9,V9+AJ9)),IF(J_V="SI",V9,V9+AJ9)," - ")</f>
        <v>3951</v>
      </c>
      <c r="BC9" s="125">
        <f>IF(ISNUMBER(X9),X9," - ")</f>
        <v>2946</v>
      </c>
      <c r="BD9" s="126">
        <f>IF(ISNUMBER(BA9/AZ9),BA9/AZ9," - ")</f>
        <v>0.95970367044561677</v>
      </c>
      <c r="BE9" s="127">
        <f>IF(ISNUMBER(BB9/BA9),BB9/BA9, " - ")</f>
        <v>0.46210526315789474</v>
      </c>
      <c r="BF9" s="127">
        <f>IF(ISNUMBER(BC9/BA9),BC9/BA9, " - ")</f>
        <v>0.34456140350877196</v>
      </c>
      <c r="BG9" s="195">
        <f>IF(ISNUMBER((AY9+AZ9)/BA9),(AY9+AZ9)/BA9," - ")</f>
        <v>1.4621052631578948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137</v>
      </c>
      <c r="J10" s="180">
        <v>58</v>
      </c>
      <c r="K10" s="180">
        <v>34</v>
      </c>
      <c r="L10" s="180">
        <v>161</v>
      </c>
      <c r="M10" s="180">
        <v>18</v>
      </c>
      <c r="N10" s="180">
        <v>5</v>
      </c>
      <c r="O10" s="180">
        <v>1</v>
      </c>
      <c r="P10" s="180">
        <v>16</v>
      </c>
      <c r="Q10" s="180">
        <v>16</v>
      </c>
      <c r="R10" s="180">
        <v>85</v>
      </c>
      <c r="S10" s="180">
        <v>126</v>
      </c>
      <c r="T10" s="180">
        <v>58</v>
      </c>
      <c r="U10" s="180">
        <v>47</v>
      </c>
      <c r="V10" s="180">
        <v>137</v>
      </c>
      <c r="W10" s="180">
        <v>20</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126</v>
      </c>
      <c r="AZ10" s="129">
        <f t="shared" si="0"/>
        <v>58</v>
      </c>
      <c r="BA10" s="129">
        <f t="shared" si="0"/>
        <v>47</v>
      </c>
      <c r="BB10" s="129">
        <f t="shared" si="0"/>
        <v>137</v>
      </c>
      <c r="BC10" s="125">
        <f t="shared" si="0"/>
        <v>20</v>
      </c>
      <c r="BD10" s="126">
        <f>IF(ISNUMBER(BA10/AZ10),BA10/AZ10," - ")</f>
        <v>0.81034482758620685</v>
      </c>
      <c r="BE10" s="127">
        <f>IF(ISNUMBER(BB10/BA10),BB10/BA10, " - ")</f>
        <v>2.9148936170212765</v>
      </c>
      <c r="BF10" s="127">
        <f>IF(ISNUMBER(BC10/BA10),BC10/BA10, " - ")</f>
        <v>0.42553191489361702</v>
      </c>
      <c r="BG10" s="195">
        <f>IF(ISNUMBER((AY10+AZ10)/BA10),(AY10+AZ10)/BA10," - ")</f>
        <v>3.9148936170212765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468</v>
      </c>
      <c r="J11" s="182">
        <v>988</v>
      </c>
      <c r="K11" s="182">
        <v>1116</v>
      </c>
      <c r="L11" s="182">
        <v>385</v>
      </c>
      <c r="M11" s="182">
        <v>412</v>
      </c>
      <c r="N11" s="182">
        <v>606</v>
      </c>
      <c r="O11" s="180">
        <v>483</v>
      </c>
      <c r="P11" s="182">
        <v>101</v>
      </c>
      <c r="Q11" s="182">
        <v>126</v>
      </c>
      <c r="R11" s="182">
        <v>157</v>
      </c>
      <c r="S11" s="182">
        <v>429</v>
      </c>
      <c r="T11" s="182">
        <v>1231</v>
      </c>
      <c r="U11" s="182">
        <v>1192</v>
      </c>
      <c r="V11" s="182">
        <v>468</v>
      </c>
      <c r="W11" s="182">
        <v>394</v>
      </c>
      <c r="X11" s="188">
        <v>671</v>
      </c>
      <c r="Y11" s="190">
        <v>68</v>
      </c>
      <c r="Z11" s="180">
        <v>417</v>
      </c>
      <c r="AA11" s="180">
        <v>407</v>
      </c>
      <c r="AB11" s="180">
        <v>151</v>
      </c>
      <c r="AC11" s="182">
        <v>0</v>
      </c>
      <c r="AD11" s="182">
        <v>0</v>
      </c>
      <c r="AE11" s="182">
        <v>0</v>
      </c>
      <c r="AF11" s="188">
        <v>0</v>
      </c>
      <c r="AG11" s="201">
        <v>117</v>
      </c>
      <c r="AH11" s="182">
        <v>368</v>
      </c>
      <c r="AI11" s="182">
        <v>417</v>
      </c>
      <c r="AJ11" s="202">
        <v>68</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546</v>
      </c>
      <c r="AZ11" s="127">
        <f t="shared" si="1"/>
        <v>1599</v>
      </c>
      <c r="BA11" s="127">
        <f t="shared" si="1"/>
        <v>1609</v>
      </c>
      <c r="BB11" s="127">
        <f t="shared" si="1"/>
        <v>536</v>
      </c>
      <c r="BC11" s="125">
        <f>IF(ISNUMBER(X11),X11," - ")</f>
        <v>671</v>
      </c>
      <c r="BD11" s="126">
        <f t="shared" ref="BD11:BD12" si="2">IF(ISNUMBER(BA11/AZ11),BA11/AZ11," - ")</f>
        <v>1.0062539086929332</v>
      </c>
      <c r="BE11" s="127">
        <f t="shared" ref="BE11:BE12" si="3">IF(ISNUMBER(BB11/BA11),BB11/BA11, " - ")</f>
        <v>0.33312616532007461</v>
      </c>
      <c r="BF11" s="127">
        <f t="shared" ref="BF11:BF12" si="4">IF(ISNUMBER(BC11/BA11),BC11/BA11, " - ")</f>
        <v>0.41702921068986948</v>
      </c>
      <c r="BG11" s="195">
        <f t="shared" ref="BG11:BG12" si="5">IF(ISNUMBER((AY11+AZ11)/BA11),(AY11+AZ11)/BA11," - ")</f>
        <v>1.3331261653200746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68</v>
      </c>
      <c r="J12" s="182">
        <v>0</v>
      </c>
      <c r="K12" s="182">
        <v>21</v>
      </c>
      <c r="L12" s="182">
        <v>47</v>
      </c>
      <c r="M12" s="182">
        <v>0</v>
      </c>
      <c r="N12" s="182">
        <v>0</v>
      </c>
      <c r="O12" s="180">
        <v>2</v>
      </c>
      <c r="P12" s="182">
        <v>0</v>
      </c>
      <c r="Q12" s="182">
        <v>4</v>
      </c>
      <c r="R12" s="182">
        <v>103</v>
      </c>
      <c r="S12" s="182">
        <v>68</v>
      </c>
      <c r="T12" s="182">
        <v>0</v>
      </c>
      <c r="U12" s="182">
        <v>0</v>
      </c>
      <c r="V12" s="182">
        <v>68</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68</v>
      </c>
      <c r="AZ12" s="127">
        <f t="shared" si="1"/>
        <v>0</v>
      </c>
      <c r="BA12" s="127">
        <f t="shared" si="1"/>
        <v>0</v>
      </c>
      <c r="BB12" s="127">
        <f t="shared" si="1"/>
        <v>68</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4556</v>
      </c>
      <c r="J13" s="183">
        <f t="shared" si="6"/>
        <v>8377</v>
      </c>
      <c r="K13" s="183">
        <f t="shared" si="6"/>
        <v>9293</v>
      </c>
      <c r="L13" s="183">
        <f t="shared" si="6"/>
        <v>3873</v>
      </c>
      <c r="M13" s="183">
        <f t="shared" si="6"/>
        <v>3017</v>
      </c>
      <c r="N13" s="183">
        <f t="shared" si="6"/>
        <v>3792</v>
      </c>
      <c r="O13" s="183">
        <f t="shared" si="6"/>
        <v>4207</v>
      </c>
      <c r="P13" s="183">
        <f t="shared" si="6"/>
        <v>2537</v>
      </c>
      <c r="Q13" s="183">
        <f t="shared" si="6"/>
        <v>1716</v>
      </c>
      <c r="R13" s="183">
        <f t="shared" si="6"/>
        <v>8741</v>
      </c>
      <c r="S13" s="183">
        <f t="shared" si="6"/>
        <v>4049</v>
      </c>
      <c r="T13" s="183">
        <f t="shared" si="6"/>
        <v>9477</v>
      </c>
      <c r="U13" s="183">
        <f t="shared" si="6"/>
        <v>8970</v>
      </c>
      <c r="V13" s="183">
        <f t="shared" si="6"/>
        <v>4556</v>
      </c>
      <c r="W13" s="183">
        <f t="shared" si="6"/>
        <v>3055</v>
      </c>
      <c r="X13" s="183">
        <f t="shared" si="6"/>
        <v>3627</v>
      </c>
      <c r="Y13" s="183">
        <f t="shared" si="6"/>
        <v>136</v>
      </c>
      <c r="Z13" s="183">
        <f t="shared" si="6"/>
        <v>1272</v>
      </c>
      <c r="AA13" s="183">
        <f t="shared" si="6"/>
        <v>1223</v>
      </c>
      <c r="AB13" s="183">
        <f t="shared" si="6"/>
        <v>255</v>
      </c>
      <c r="AC13" s="183">
        <f t="shared" si="6"/>
        <v>0</v>
      </c>
      <c r="AD13" s="183">
        <f t="shared" si="6"/>
        <v>0</v>
      </c>
      <c r="AE13" s="183">
        <f t="shared" si="6"/>
        <v>0</v>
      </c>
      <c r="AF13" s="183">
        <f>SUBTOTAL(9,AF9:AF12)</f>
        <v>0</v>
      </c>
      <c r="AG13" s="183">
        <f t="shared" ref="AG13:AT13" si="7">SUBTOTAL(9,AG8:AG12)</f>
        <v>283</v>
      </c>
      <c r="AH13" s="183">
        <f t="shared" si="7"/>
        <v>1089</v>
      </c>
      <c r="AI13" s="183">
        <f t="shared" si="7"/>
        <v>1236</v>
      </c>
      <c r="AJ13" s="183">
        <f t="shared" si="7"/>
        <v>136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4332</v>
      </c>
      <c r="AZ13" s="183">
        <f>SUBTOTAL(9,AZ8:AZ12)</f>
        <v>10566</v>
      </c>
      <c r="BA13" s="183">
        <f>SUBTOTAL(9,BA8:BA12)</f>
        <v>10206</v>
      </c>
      <c r="BB13" s="183">
        <f>SUBTOTAL(9,BB8:BB12)</f>
        <v>4692</v>
      </c>
      <c r="BC13" s="183">
        <f>SUBTOTAL(9,BC8:BC12)</f>
        <v>3637</v>
      </c>
      <c r="BD13" s="204">
        <f>IF(ISNUMBER(BA13/AZ13),BA13/AZ13," - ")</f>
        <v>0.96592844974446335</v>
      </c>
      <c r="BE13" s="205">
        <f>IF(ISNUMBER(BB13/BA13),BB13/BA13, " - ")</f>
        <v>0.45972957084068194</v>
      </c>
      <c r="BF13" s="205">
        <f>IF(ISNUMBER(BC13/BA13),BC13/BA13, " - ")</f>
        <v>0.35635900450715263</v>
      </c>
      <c r="BG13" s="206">
        <f>IF(ISNUMBER((AY13+AZ13)/BA13),(AY13+AZ13)/BA13," - ")</f>
        <v>1.4597295708406819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2929</v>
      </c>
      <c r="J15" s="182">
        <v>4974</v>
      </c>
      <c r="K15" s="182">
        <v>4722</v>
      </c>
      <c r="L15" s="182">
        <v>2353</v>
      </c>
      <c r="M15" s="182">
        <v>899</v>
      </c>
      <c r="N15" s="182">
        <v>2123</v>
      </c>
      <c r="O15" s="180">
        <v>197</v>
      </c>
      <c r="P15" s="182">
        <v>260</v>
      </c>
      <c r="Q15" s="182">
        <v>297</v>
      </c>
      <c r="R15" s="182">
        <v>283</v>
      </c>
      <c r="S15" s="182">
        <v>2305</v>
      </c>
      <c r="T15" s="182">
        <v>4582</v>
      </c>
      <c r="U15" s="182">
        <v>4101</v>
      </c>
      <c r="V15" s="182">
        <v>2929</v>
      </c>
      <c r="W15" s="182">
        <v>819</v>
      </c>
      <c r="X15" s="188">
        <v>2040</v>
      </c>
      <c r="Y15" s="201">
        <v>0</v>
      </c>
      <c r="Z15" s="182">
        <v>0</v>
      </c>
      <c r="AA15" s="182">
        <v>0</v>
      </c>
      <c r="AB15" s="182">
        <v>0</v>
      </c>
      <c r="AC15" s="182">
        <v>0</v>
      </c>
      <c r="AD15" s="182">
        <v>25</v>
      </c>
      <c r="AE15" s="182">
        <v>25</v>
      </c>
      <c r="AF15" s="188">
        <v>0</v>
      </c>
      <c r="AG15" s="201">
        <v>0</v>
      </c>
      <c r="AH15" s="182">
        <v>0</v>
      </c>
      <c r="AI15" s="182">
        <v>0</v>
      </c>
      <c r="AJ15" s="202">
        <v>0</v>
      </c>
      <c r="AK15" s="181">
        <v>0</v>
      </c>
      <c r="AL15" s="182">
        <v>13</v>
      </c>
      <c r="AM15" s="182">
        <v>13</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2305</v>
      </c>
      <c r="AZ15" s="129">
        <f t="shared" si="9"/>
        <v>4582</v>
      </c>
      <c r="BA15" s="129">
        <f t="shared" si="9"/>
        <v>4101</v>
      </c>
      <c r="BB15" s="129">
        <f t="shared" si="9"/>
        <v>2929</v>
      </c>
      <c r="BC15" s="125">
        <f>IF(ISNUMBER(W15),W15," - ")</f>
        <v>819</v>
      </c>
      <c r="BD15" s="126">
        <f>IF(ISNUMBER(BA15/AZ15),BA15/AZ15," - ")</f>
        <v>0.89502400698384987</v>
      </c>
      <c r="BE15" s="127">
        <f>IF(ISNUMBER(BB15/BA15),BB15/BA15, " - ")</f>
        <v>0.71421604486710555</v>
      </c>
      <c r="BF15" s="127">
        <f>IF(ISNUMBER(BC15/BA15),BC15/BA15, " - ")</f>
        <v>0.19970738844184346</v>
      </c>
      <c r="BG15" s="195">
        <f t="shared" ref="BG15:BG16" si="10">IF(ISNUMBER((AY15+AZ15)/BA15),(AY15+AZ15)/BA15," - ")</f>
        <v>1.6793465008534503</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212</v>
      </c>
      <c r="J17" s="182">
        <v>629</v>
      </c>
      <c r="K17" s="182">
        <v>570</v>
      </c>
      <c r="L17" s="182">
        <v>251</v>
      </c>
      <c r="M17" s="182">
        <v>92</v>
      </c>
      <c r="N17" s="182">
        <v>231</v>
      </c>
      <c r="O17" s="182">
        <v>0</v>
      </c>
      <c r="P17" s="182">
        <v>5</v>
      </c>
      <c r="Q17" s="182">
        <v>1</v>
      </c>
      <c r="R17" s="182">
        <v>7</v>
      </c>
      <c r="S17" s="182">
        <v>188</v>
      </c>
      <c r="T17" s="182">
        <v>320</v>
      </c>
      <c r="U17" s="182">
        <v>296</v>
      </c>
      <c r="V17" s="182">
        <v>212</v>
      </c>
      <c r="W17" s="182">
        <v>93</v>
      </c>
      <c r="X17" s="188">
        <v>170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188</v>
      </c>
      <c r="AZ17" s="129">
        <f t="shared" si="14"/>
        <v>320</v>
      </c>
      <c r="BA17" s="129">
        <f t="shared" si="14"/>
        <v>296</v>
      </c>
      <c r="BB17" s="129">
        <f t="shared" si="14"/>
        <v>212</v>
      </c>
      <c r="BC17" s="125">
        <f>IF(ISNUMBER(W17),W17," - ")</f>
        <v>93</v>
      </c>
      <c r="BD17" s="126">
        <f>IF(ISNUMBER(BA17/AZ17),BA17/AZ17," - ")</f>
        <v>0.92500000000000004</v>
      </c>
      <c r="BE17" s="127">
        <f>IF(ISNUMBER(BB17/BA17),BB17/BA17, " - ")</f>
        <v>0.71621621621621623</v>
      </c>
      <c r="BF17" s="127">
        <f>IF(ISNUMBER(BC17/BA17),BC17/BA17, " - ")</f>
        <v>0.3141891891891892</v>
      </c>
      <c r="BG17" s="195">
        <f>IF(ISNUMBER((AY17+AZ17)/BA17),(AY17+AZ17)/BA17," - ")</f>
        <v>1.7162162162162162</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3141</v>
      </c>
      <c r="J18" s="183">
        <f t="shared" si="15"/>
        <v>5603</v>
      </c>
      <c r="K18" s="183">
        <f t="shared" si="15"/>
        <v>5292</v>
      </c>
      <c r="L18" s="183">
        <f t="shared" si="15"/>
        <v>2604</v>
      </c>
      <c r="M18" s="183">
        <f t="shared" si="15"/>
        <v>991</v>
      </c>
      <c r="N18" s="183">
        <f t="shared" si="15"/>
        <v>2354</v>
      </c>
      <c r="O18" s="183">
        <f t="shared" si="15"/>
        <v>197</v>
      </c>
      <c r="P18" s="183">
        <f t="shared" si="15"/>
        <v>265</v>
      </c>
      <c r="Q18" s="183">
        <f t="shared" si="15"/>
        <v>298</v>
      </c>
      <c r="R18" s="183">
        <f t="shared" si="15"/>
        <v>290</v>
      </c>
      <c r="S18" s="183">
        <f t="shared" si="15"/>
        <v>2493</v>
      </c>
      <c r="T18" s="183">
        <f t="shared" si="15"/>
        <v>4902</v>
      </c>
      <c r="U18" s="183">
        <f t="shared" si="15"/>
        <v>4397</v>
      </c>
      <c r="V18" s="183">
        <f t="shared" si="15"/>
        <v>3141</v>
      </c>
      <c r="W18" s="183">
        <f t="shared" si="15"/>
        <v>912</v>
      </c>
      <c r="X18" s="183">
        <f t="shared" si="15"/>
        <v>2210</v>
      </c>
      <c r="Y18" s="183">
        <f t="shared" si="15"/>
        <v>0</v>
      </c>
      <c r="Z18" s="183">
        <f t="shared" si="15"/>
        <v>0</v>
      </c>
      <c r="AA18" s="183">
        <f t="shared" si="15"/>
        <v>0</v>
      </c>
      <c r="AB18" s="183">
        <f t="shared" si="15"/>
        <v>0</v>
      </c>
      <c r="AC18" s="183">
        <f t="shared" si="15"/>
        <v>0</v>
      </c>
      <c r="AD18" s="183">
        <f t="shared" si="15"/>
        <v>25</v>
      </c>
      <c r="AE18" s="183">
        <f t="shared" si="15"/>
        <v>25</v>
      </c>
      <c r="AF18" s="183">
        <f t="shared" si="15"/>
        <v>0</v>
      </c>
      <c r="AG18" s="183">
        <f t="shared" si="15"/>
        <v>0</v>
      </c>
      <c r="AH18" s="183">
        <f t="shared" si="15"/>
        <v>0</v>
      </c>
      <c r="AI18" s="183">
        <f t="shared" si="15"/>
        <v>0</v>
      </c>
      <c r="AJ18" s="183">
        <f t="shared" si="15"/>
        <v>0</v>
      </c>
      <c r="AK18" s="183">
        <f t="shared" si="15"/>
        <v>0</v>
      </c>
      <c r="AL18" s="183">
        <f t="shared" si="15"/>
        <v>13</v>
      </c>
      <c r="AM18" s="183">
        <f t="shared" si="15"/>
        <v>13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2493</v>
      </c>
      <c r="AZ18" s="183">
        <f>SUBTOTAL(9,AZ14:AZ17)</f>
        <v>4902</v>
      </c>
      <c r="BA18" s="183">
        <f>SUBTOTAL(9,BA14:BA17)</f>
        <v>4397</v>
      </c>
      <c r="BB18" s="183">
        <f>SUBTOTAL(9,BB14:BB17)</f>
        <v>3141</v>
      </c>
      <c r="BC18" s="183">
        <f>SUBTOTAL(9,BC14:BC17)</f>
        <v>912</v>
      </c>
      <c r="BD18" s="204">
        <f>IF(ISNUMBER(BA18/AZ18),BA18/AZ18," - ")</f>
        <v>0.89698082415340674</v>
      </c>
      <c r="BE18" s="205">
        <f>IF(ISNUMBER(BB18/BA18),BB18/BA18, " - ")</f>
        <v>0.71435069365476456</v>
      </c>
      <c r="BF18" s="205">
        <f>IF(ISNUMBER(BC18/BA18),BC18/BA18, " - ")</f>
        <v>0.20741414600864225</v>
      </c>
      <c r="BG18" s="206">
        <f>IF(ISNUMBER((AY18+AZ18)/BA18),(AY18+AZ18)/BA18," - ")</f>
        <v>1.6818285194450762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7697</v>
      </c>
      <c r="J19" s="134">
        <f t="shared" si="18"/>
        <v>13980</v>
      </c>
      <c r="K19" s="134">
        <f t="shared" si="18"/>
        <v>14585</v>
      </c>
      <c r="L19" s="134">
        <f t="shared" si="18"/>
        <v>6477</v>
      </c>
      <c r="M19" s="134">
        <f t="shared" si="18"/>
        <v>4008</v>
      </c>
      <c r="N19" s="134">
        <f t="shared" si="18"/>
        <v>6146</v>
      </c>
      <c r="O19" s="134">
        <f t="shared" si="18"/>
        <v>4404</v>
      </c>
      <c r="P19" s="134">
        <f t="shared" si="18"/>
        <v>2802</v>
      </c>
      <c r="Q19" s="134">
        <f t="shared" si="18"/>
        <v>2014</v>
      </c>
      <c r="R19" s="134">
        <f t="shared" si="18"/>
        <v>9031</v>
      </c>
      <c r="S19" s="134">
        <f t="shared" si="18"/>
        <v>6542</v>
      </c>
      <c r="T19" s="134">
        <f t="shared" si="18"/>
        <v>14379</v>
      </c>
      <c r="U19" s="134">
        <f t="shared" si="18"/>
        <v>13367</v>
      </c>
      <c r="V19" s="134">
        <f t="shared" si="18"/>
        <v>7697</v>
      </c>
      <c r="W19" s="134">
        <f t="shared" si="18"/>
        <v>3967</v>
      </c>
      <c r="X19" s="134">
        <f t="shared" si="18"/>
        <v>5837</v>
      </c>
      <c r="Y19" s="134">
        <f t="shared" si="18"/>
        <v>136</v>
      </c>
      <c r="Z19" s="134">
        <f t="shared" si="18"/>
        <v>1272</v>
      </c>
      <c r="AA19" s="134">
        <f t="shared" si="18"/>
        <v>1223</v>
      </c>
      <c r="AB19" s="134">
        <f t="shared" si="18"/>
        <v>255</v>
      </c>
      <c r="AC19" s="134">
        <f t="shared" si="18"/>
        <v>0</v>
      </c>
      <c r="AD19" s="134">
        <f t="shared" si="18"/>
        <v>25</v>
      </c>
      <c r="AE19" s="134">
        <f t="shared" si="18"/>
        <v>25</v>
      </c>
      <c r="AF19" s="134">
        <f t="shared" si="18"/>
        <v>0</v>
      </c>
      <c r="AG19" s="134">
        <f t="shared" si="18"/>
        <v>283</v>
      </c>
      <c r="AH19" s="134">
        <f t="shared" si="18"/>
        <v>1089</v>
      </c>
      <c r="AI19" s="134">
        <f t="shared" si="18"/>
        <v>1236</v>
      </c>
      <c r="AJ19" s="134">
        <f t="shared" si="18"/>
        <v>136</v>
      </c>
      <c r="AK19" s="134">
        <f t="shared" si="18"/>
        <v>0</v>
      </c>
      <c r="AL19" s="134">
        <f t="shared" si="18"/>
        <v>13</v>
      </c>
      <c r="AM19" s="134">
        <f t="shared" si="18"/>
        <v>13</v>
      </c>
      <c r="AN19" s="209">
        <f t="shared" si="18"/>
        <v>0</v>
      </c>
      <c r="AO19" s="210">
        <v>10</v>
      </c>
      <c r="AP19" s="210">
        <v>9</v>
      </c>
      <c r="AQ19" s="210">
        <v>9</v>
      </c>
      <c r="AR19" s="210">
        <v>9</v>
      </c>
      <c r="AS19" s="152">
        <f t="shared" si="18"/>
        <v>0</v>
      </c>
      <c r="AT19" s="152">
        <f t="shared" si="18"/>
        <v>0</v>
      </c>
      <c r="AU19" s="210"/>
      <c r="AV19" s="211"/>
      <c r="AW19" s="210"/>
      <c r="AX19" s="211"/>
      <c r="AY19" s="133">
        <f>SUBTOTAL(9,AY9:AY18)</f>
        <v>6825</v>
      </c>
      <c r="AZ19" s="134">
        <f>SUBTOTAL(9,AZ9:AZ18)</f>
        <v>15468</v>
      </c>
      <c r="BA19" s="134">
        <f>SUBTOTAL(9,BA9:BA18)</f>
        <v>14603</v>
      </c>
      <c r="BB19" s="134">
        <f>SUBTOTAL(9,BB9:BB18)</f>
        <v>7833</v>
      </c>
      <c r="BC19" s="135">
        <f>SUBTOTAL(9,BC9:BC18)</f>
        <v>4549</v>
      </c>
      <c r="BD19" s="212">
        <f>IF(ISNUMBER(BA19/AZ19),BA19/AZ19," - ")</f>
        <v>0.94407809671580034</v>
      </c>
      <c r="BE19" s="209">
        <f>IF(ISNUMBER(BB19/BA19),BB19/BA19, " - ")</f>
        <v>0.53639663082928168</v>
      </c>
      <c r="BF19" s="209">
        <f>IF(ISNUMBER(BC19/BA19),BC19/BA19, " - ")</f>
        <v>0.3115113332876806</v>
      </c>
      <c r="BG19" s="135">
        <f>IF(ISNUMBER((AY19+AZ19)/BA19),(AY19+AZ19)/BA19," - ")</f>
        <v>1.5266041224405944</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cQCGPaMewH7ZgU9xdLU+2kLzqVmTe6OScqim631TN/4aq+Nk4R3EkRJVKEfKCAyH9xG7fUGSdROzpUunaJZQ==" saltValue="3xe6A9PhZR5lFO3+mQK6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RsyRhuy2jLMNd+YrD8dqzBtHTgd/c1vxntfNEV0TlQs+nKUOgliDPesKQ4GYVS0KYvP0T89JBvLHUtx6sw7A==" saltValue="9TDmY/bAv9wQWVlIK1Yf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855</v>
      </c>
      <c r="O9" s="333"/>
      <c r="P9" s="333"/>
      <c r="Q9" s="225">
        <f>IF(ISNUMBER(Datos!P9),Datos!P9,0)</f>
        <v>2420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1570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104</v>
      </c>
      <c r="AI9" s="333" t="str">
        <f>IF(ISNUMBER(Datos!CD9),Datos!CD9,"-")</f>
        <v>-</v>
      </c>
      <c r="AJ9" s="333" t="str">
        <f>IF(ISNUMBER(Datos!EN9),Datos!EN9," - ")</f>
        <v xml:space="preserve"> - </v>
      </c>
      <c r="AK9" s="333"/>
      <c r="AL9" s="478"/>
      <c r="AM9" s="334">
        <f>IF(ISNUMBER(Datos!R9),Datos!R9," - ")</f>
        <v>8396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2587</v>
      </c>
      <c r="BD9" s="228">
        <f>IF(ISNUMBER(Datos!N9),Datos!N9," - ")</f>
        <v>3181</v>
      </c>
      <c r="BE9" s="228" t="str">
        <f>IF(ISNUMBER(Datos!BW9),Datos!BW9," - ")</f>
        <v xml:space="preserve"> - </v>
      </c>
      <c r="BF9" s="227" t="str">
        <f>IF(ISNUMBER(Datos!BX9),Datos!BX9," - ")</f>
        <v xml:space="preserve"> - </v>
      </c>
      <c r="BG9" s="242">
        <f>IF(ISNUMBER(IF(J_V="SI",Datos!K9/Datos!J9,(Datos!K9+Datos!AA9)/(Datos!J9+Datos!Z9))),IF(J_V="SI",Datos!K9/Datos!J9,(Datos!K9+Datos!AA9)/(Datos!J9+Datos!Z9))," - ")</f>
        <v>1.0918641583190813</v>
      </c>
      <c r="BH9" s="259">
        <f>IF(ISNUMBER(((IF(J_V="SI",Datos!L9/Datos!K9,(Datos!L9+Datos!AB9)/(Datos!K9+Datos!AA9)))*11)/factor_trimestre),((IF(J_V="SI",Datos!L9/Datos!K9,(Datos!L9+Datos!AB9)/(Datos!K9+Datos!AA9)))*11)/factor_trimestre," - ")</f>
        <v>4.1646900872678456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0.11264245958123509</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137</v>
      </c>
      <c r="G10" s="332">
        <f>IF(ISNUMBER(Datos!I10),Datos!I10," - ")</f>
        <v>137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34</v>
      </c>
      <c r="AC10" s="225">
        <f>IF(ISNUMBER(Datos!Q10),Datos!Q10," - ")</f>
        <v>16</v>
      </c>
      <c r="AD10" s="333"/>
      <c r="AE10" s="483"/>
      <c r="AF10" s="331">
        <f>IF(ISNUMBER(Datos!L10),Datos!L10,"-")</f>
        <v>161</v>
      </c>
      <c r="AG10" s="333"/>
      <c r="AH10" s="333"/>
      <c r="AI10" s="333"/>
      <c r="AJ10" s="333"/>
      <c r="AK10" s="333"/>
      <c r="AL10" s="478"/>
      <c r="AM10" s="334">
        <f>IF(ISNUMBER(Datos!R10),Datos!R10," - ")</f>
        <v>85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5</v>
      </c>
      <c r="BE10" s="228" t="str">
        <f>IF(ISNUMBER(Datos!BW10),Datos!BW10," - ")</f>
        <v xml:space="preserve"> - </v>
      </c>
      <c r="BF10" s="227" t="str">
        <f>IF(ISNUMBER(Datos!BX10),Datos!BX10," - ")</f>
        <v xml:space="preserve"> - </v>
      </c>
      <c r="BG10" s="242">
        <f>IF(ISNUMBER(Datos!K10/Datos!J10),Datos!K10/Datos!J10," - ")</f>
        <v>0.58620689655172409</v>
      </c>
      <c r="BH10" s="259">
        <f>IF(ISNUMBER(((Datos!L10/Datos!K10)*11)/factor_trimestre),((Datos!L10/Datos!K10)*11)/factor_trimestre," - ")</f>
        <v>52.088235294117645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417</v>
      </c>
      <c r="O11" s="333"/>
      <c r="P11" s="333"/>
      <c r="Q11" s="225">
        <f>IF(ISNUMBER(Datos!P11),Datos!P11,0)</f>
        <v>101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126</v>
      </c>
      <c r="AD11" s="333"/>
      <c r="AE11" s="483"/>
      <c r="AF11" s="331" t="str">
        <f>IF(ISNUMBER(IF(J_V="SI",Datos!L11,Datos!L11+Datos!AB11)-IF(Monitorios="SI",Datos!CD11,0)),
                          IF(J_V="SI",Datos!L11,Datos!L11+Datos!AB11)-IF(Monitorios="SI",Datos!CD11,0),
                          " - ")</f>
        <v xml:space="preserve"> - </v>
      </c>
      <c r="AG11" s="333"/>
      <c r="AH11" s="333">
        <f>IF(ISNUMBER(Datos!AB11),Datos!AB11,"-")</f>
        <v>151</v>
      </c>
      <c r="AI11" s="333"/>
      <c r="AJ11" s="333"/>
      <c r="AK11" s="333"/>
      <c r="AL11" s="478"/>
      <c r="AM11" s="334">
        <f>IF(ISNUMBER(Datos!R11),Datos!R11," - ")</f>
        <v>157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412</v>
      </c>
      <c r="BD11" s="228">
        <f>IF(ISNUMBER(Datos!N11),Datos!N11," - ")</f>
        <v>606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1.0839857651245552</v>
      </c>
      <c r="BH11" s="259">
        <f>IF(ISNUMBER(((IF(J_V="SI",Datos!L11/Datos!K11,(Datos!L11+Datos!AB11)/(Datos!K11+Datos!AA11)))*11)/factor_trimestre),((IF(J_V="SI",Datos!L11/Datos!K11,(Datos!L11+Datos!AB11)/(Datos!K11+Datos!AA11)))*11)/factor_trimestre," - ")</f>
        <v>3.8713066316480633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-0.13736263736263737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f>IF(ISNUMBER(((IF(J_V="SI",Datos!L12/Datos!K12,(Datos!L12+Datos!AB12)/(Datos!K12+Datos!AA12)))*11)/factor_trimestre),((IF(J_V="SI",Datos!L12/Datos!K12,(Datos!L12+Datos!AB12)/(Datos!K12+Datos!AA12)))*11)/factor_trimestre," - ")</f>
        <v>24.61904761904762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-3.7383177570093455E-2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137</v>
      </c>
      <c r="G13" s="897">
        <f t="shared" si="0"/>
        <v>137</v>
      </c>
      <c r="H13" s="898">
        <f t="shared" si="0"/>
        <v>0</v>
      </c>
      <c r="I13" s="897">
        <f t="shared" si="0"/>
        <v>0</v>
      </c>
      <c r="J13" s="866">
        <f t="shared" si="0"/>
        <v>0</v>
      </c>
      <c r="K13" s="866">
        <f t="shared" si="0"/>
        <v>0</v>
      </c>
      <c r="L13" s="898">
        <f t="shared" si="0"/>
        <v>0</v>
      </c>
      <c r="M13" s="898">
        <f t="shared" si="0"/>
        <v>0</v>
      </c>
      <c r="N13" s="898">
        <f t="shared" si="0"/>
        <v>1272</v>
      </c>
      <c r="O13" s="899">
        <f t="shared" si="0"/>
        <v>0</v>
      </c>
      <c r="P13" s="899">
        <f t="shared" si="0"/>
        <v>0</v>
      </c>
      <c r="Q13" s="898">
        <f t="shared" si="0"/>
        <v>2537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34</v>
      </c>
      <c r="AC13" s="898">
        <f t="shared" si="1"/>
        <v>1716</v>
      </c>
      <c r="AD13" s="898">
        <f t="shared" si="1"/>
        <v>0</v>
      </c>
      <c r="AE13" s="898">
        <f t="shared" si="1"/>
        <v>0</v>
      </c>
      <c r="AF13" s="898">
        <f t="shared" si="1"/>
        <v>161</v>
      </c>
      <c r="AG13" s="898">
        <f t="shared" si="1"/>
        <v>0</v>
      </c>
      <c r="AH13" s="898">
        <f t="shared" si="1"/>
        <v>255</v>
      </c>
      <c r="AI13" s="898">
        <f t="shared" si="1"/>
        <v>0</v>
      </c>
      <c r="AJ13" s="898">
        <f t="shared" si="1"/>
        <v>0</v>
      </c>
      <c r="AK13" s="898">
        <f t="shared" si="1"/>
        <v>0</v>
      </c>
      <c r="AL13" s="898">
        <f t="shared" si="1"/>
        <v>0</v>
      </c>
      <c r="AM13" s="898">
        <f t="shared" si="1"/>
        <v>8741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3017</v>
      </c>
      <c r="BD13" s="898">
        <f t="shared" si="1"/>
        <v>3792</v>
      </c>
      <c r="BE13" s="898">
        <f t="shared" si="1"/>
        <v>0</v>
      </c>
      <c r="BF13" s="898">
        <f t="shared" si="1"/>
        <v>0</v>
      </c>
      <c r="BG13" s="898">
        <f>IF(ISNUMBER(Datos!K13/Datos!J13),Datos!K13/Datos!J13," - ")</f>
        <v>1.1093470216067804</v>
      </c>
      <c r="BH13" s="902">
        <f>IF(ISNUMBER(((Datos!L13/Datos!K13)*11)/factor_trimestre),((Datos!L13/Datos!K13)*11)/factor_trimestre," - ")</f>
        <v>4.5844183794253741</v>
      </c>
      <c r="BI13" s="898">
        <f>IF(ISNUMBER('Resol  Asuntos'!D13/NºAsuntos!G13),'Resol  Asuntos'!D13/NºAsuntos!G13," - ")</f>
        <v>0.28689615823507036</v>
      </c>
      <c r="BJ13" s="898" t="str">
        <f>IF(ISNUMBER(Datos!CI13/Datos!CJ13),Datos!CI13/Datos!CJ13," - ")</f>
        <v xml:space="preserve"> - </v>
      </c>
      <c r="BK13" s="898">
        <f>SUBTOTAL(9,BK8:BK12)</f>
        <v>0</v>
      </c>
      <c r="BL13" s="898">
        <f>IF(ISNUMBER((I13-AB13+L13)/(F13)),(I13-AB13+L13)/(F13)," - ")</f>
        <v>-0.24817518248175183</v>
      </c>
      <c r="BM13" s="903">
        <f>SUBTOTAL(9,BM9:BM12)</f>
        <v>-6.2103355351495741E-2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2101</v>
      </c>
      <c r="G15" s="597">
        <f>IF(ISNUMBER(IF(D_I="SI",Datos!I15,Datos!I15+Datos!AC15)),IF(D_I="SI",Datos!I15,Datos!I15+Datos!AC15)," - ")</f>
        <v>2929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260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4722</v>
      </c>
      <c r="AC15" s="225">
        <f>IF(ISNUMBER(Datos!Q15),Datos!Q15," - ")</f>
        <v>297</v>
      </c>
      <c r="AD15" s="333"/>
      <c r="AE15" s="483"/>
      <c r="AF15" s="595">
        <f>IF(ISNUMBER(IF(D_I="SI",Datos!L15,Datos!L15+Datos!AF15)),IF(D_I="SI",Datos!L15,Datos!L15+Datos!AF15)," - ")</f>
        <v>2353</v>
      </c>
      <c r="AG15" s="333"/>
      <c r="AH15" s="333"/>
      <c r="AI15" s="333"/>
      <c r="AJ15" s="333"/>
      <c r="AK15" s="333"/>
      <c r="AL15" s="478"/>
      <c r="AM15" s="334">
        <f>IF(ISNUMBER(Datos!R15),Datos!R15," - ")</f>
        <v>283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899</v>
      </c>
      <c r="BD15" s="228">
        <f>IF(ISNUMBER(Datos!N15),Datos!N15," - ")</f>
        <v>2123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0.94933655006031359</v>
      </c>
      <c r="BH15" s="259">
        <f>IF(ISNUMBER(((IF(D_I="SI",Datos!L15/Datos!K15,(Datos!L15+Datos!AF15)/(Datos!K15+Datos!AE15)))*11)/factor_trimestre),((IF(D_I="SI",Datos!L15/Datos!K15,(Datos!L15+Datos!AF15)/(Datos!K15+Datos!AE15)))*11)/factor_trimestre," - ")</f>
        <v>5.4813638288860655</v>
      </c>
      <c r="BI15" s="242">
        <f>IF(ISNUMBER('Resol  Asuntos'!D15/NºAsuntos!G15),'Resol  Asuntos'!D15/NºAsuntos!G15," - ")</f>
        <v>0.19038542990258364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570</v>
      </c>
      <c r="AC17" s="225">
        <f>IF(ISNUMBER(Datos!Q17),Datos!Q17," - ")</f>
        <v>1</v>
      </c>
      <c r="AD17" s="333"/>
      <c r="AE17" s="483"/>
      <c r="AF17" s="331">
        <f>IF(ISNUMBER(Datos!L17),Datos!L17,"-")</f>
        <v>251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92</v>
      </c>
      <c r="BD17" s="228">
        <f>IF(ISNUMBER(Datos!N17),Datos!N17," - ")</f>
        <v>231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0.90620031796502387</v>
      </c>
      <c r="BH17" s="259">
        <f>IF(ISNUMBER(((IF(D_I="SI",Datos!L17/Datos!K17,(Datos!L17+Datos!AF17)/(Datos!K17+Datos!AE17)))*11)/factor_trimestre),((IF(D_I="SI",Datos!L17/Datos!K17,(Datos!L17+Datos!AF17)/(Datos!K17+Datos!AE17)))*11)/factor_trimestre," - ")</f>
        <v>4.8438596491228072</v>
      </c>
      <c r="BI17" s="242">
        <f>IF(ISNUMBER('Resol  Asuntos'!D17/NºAsuntos!G17),'Resol  Asuntos'!D17/NºAsuntos!G17," - ")</f>
        <v>0.16140350877192983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2101</v>
      </c>
      <c r="G18" s="897">
        <f>SUBTOTAL(9,G15:G17)</f>
        <v>3141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5292</v>
      </c>
      <c r="AC18" s="898">
        <f t="shared" si="4"/>
        <v>298</v>
      </c>
      <c r="AD18" s="898">
        <f t="shared" si="4"/>
        <v>0</v>
      </c>
      <c r="AE18" s="898">
        <f t="shared" si="4"/>
        <v>0</v>
      </c>
      <c r="AF18" s="898">
        <f t="shared" si="4"/>
        <v>2604</v>
      </c>
      <c r="AG18" s="898">
        <f t="shared" si="4"/>
        <v>0</v>
      </c>
      <c r="AH18" s="898">
        <f t="shared" si="4"/>
        <v>0</v>
      </c>
      <c r="AI18" s="898">
        <f t="shared" si="4"/>
        <v>0</v>
      </c>
      <c r="AJ18" s="898">
        <f t="shared" si="4"/>
        <v>0</v>
      </c>
      <c r="AK18" s="898">
        <f t="shared" si="4"/>
        <v>0</v>
      </c>
      <c r="AL18" s="898">
        <f t="shared" si="4"/>
        <v>0</v>
      </c>
      <c r="AM18" s="898">
        <f t="shared" si="4"/>
        <v>290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991</v>
      </c>
      <c r="BD18" s="898">
        <f t="shared" si="4"/>
        <v>2354</v>
      </c>
      <c r="BE18" s="898">
        <f t="shared" si="4"/>
        <v>0</v>
      </c>
      <c r="BF18" s="898">
        <f t="shared" si="4"/>
        <v>0</v>
      </c>
      <c r="BG18" s="898">
        <f>IF(ISNUMBER(Datos!K18/Datos!J18),Datos!K18/Datos!J18," - ")</f>
        <v>0.94449402106014635</v>
      </c>
      <c r="BH18" s="902">
        <f>IF(ISNUMBER(((Datos!L18/Datos!K18)*11)/factor_trimestre),((Datos!L18/Datos!K18)*11)/factor_trimestre," - ")</f>
        <v>5.4126984126984121</v>
      </c>
      <c r="BI18" s="898">
        <f>SUBTOTAL(9,BI15:BI17)</f>
        <v>0.35178893867451344</v>
      </c>
      <c r="BJ18" s="898">
        <f>SUBTOTAL(9,BJ15:BJ17)</f>
        <v>0</v>
      </c>
      <c r="BK18" s="898">
        <f>SUBTOTAL(9,BK15:BK17)</f>
        <v>0</v>
      </c>
      <c r="BL18" s="898">
        <f>IF(ISNUMBER((I18-AB18+L18)/(F18)),(I18-AB18+L18)/(F18)," - ")</f>
        <v>-2.5188005711565919</v>
      </c>
      <c r="BM18" s="904">
        <f>IF(ISNUMBER((Datos!P18-Datos!Q18)/(Datos!R18-Datos!P18+Datos!Q18)),(Datos!P18-Datos!Q18)/(Datos!R18-Datos!P18+Datos!Q18)," - ")</f>
        <v>-0.1021671826625387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9</v>
      </c>
      <c r="F19" s="819">
        <f t="shared" si="6"/>
        <v>2238</v>
      </c>
      <c r="G19" s="819">
        <f t="shared" si="6"/>
        <v>3278</v>
      </c>
      <c r="H19" s="821">
        <f t="shared" si="6"/>
        <v>0</v>
      </c>
      <c r="I19" s="819">
        <f t="shared" si="6"/>
        <v>0</v>
      </c>
      <c r="J19" s="821">
        <f t="shared" si="6"/>
        <v>0</v>
      </c>
      <c r="K19" s="821">
        <f t="shared" si="6"/>
        <v>0</v>
      </c>
      <c r="L19" s="880">
        <f t="shared" si="6"/>
        <v>0</v>
      </c>
      <c r="M19" s="880">
        <f t="shared" si="6"/>
        <v>0</v>
      </c>
      <c r="N19" s="880">
        <f t="shared" si="6"/>
        <v>1272</v>
      </c>
      <c r="O19" s="880">
        <f t="shared" si="6"/>
        <v>0</v>
      </c>
      <c r="P19" s="880">
        <f t="shared" si="6"/>
        <v>0</v>
      </c>
      <c r="Q19" s="821">
        <f t="shared" si="6"/>
        <v>2802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5326</v>
      </c>
      <c r="AC19" s="820">
        <f t="shared" si="7"/>
        <v>2014</v>
      </c>
      <c r="AD19" s="820">
        <f t="shared" si="7"/>
        <v>0</v>
      </c>
      <c r="AE19" s="820">
        <f t="shared" si="7"/>
        <v>0</v>
      </c>
      <c r="AF19" s="827">
        <f t="shared" si="7"/>
        <v>2765</v>
      </c>
      <c r="AG19" s="827">
        <f t="shared" si="7"/>
        <v>0</v>
      </c>
      <c r="AH19" s="827">
        <f t="shared" si="7"/>
        <v>255</v>
      </c>
      <c r="AI19" s="827">
        <f t="shared" si="7"/>
        <v>0</v>
      </c>
      <c r="AJ19" s="820">
        <f t="shared" si="7"/>
        <v>0</v>
      </c>
      <c r="AK19" s="827">
        <f t="shared" si="7"/>
        <v>0</v>
      </c>
      <c r="AL19" s="827">
        <f t="shared" si="7"/>
        <v>0</v>
      </c>
      <c r="AM19" s="827">
        <f t="shared" si="7"/>
        <v>9031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4008</v>
      </c>
      <c r="BD19" s="819">
        <f t="shared" si="7"/>
        <v>6146</v>
      </c>
      <c r="BE19" s="819">
        <f t="shared" si="7"/>
        <v>0</v>
      </c>
      <c r="BF19" s="829">
        <f t="shared" si="7"/>
        <v>0</v>
      </c>
      <c r="BG19" s="914">
        <f>IF(ISNUMBER(Datos!K19/Datos!J19),Datos!K19/Datos!J19," - ")</f>
        <v>1.0432761087267526</v>
      </c>
      <c r="BH19" s="914">
        <f>IF(ISNUMBER(((Datos!L19/Datos!K19)*11)/factor_trimestre),((Datos!L19/Datos!K19)*11)/factor_trimestre," - ")</f>
        <v>4.8849502913952687</v>
      </c>
      <c r="BI19" s="812">
        <f>IF(ISNUMBER(Datos!J19/Datos!I19),Datos!J19/Datos!I19," - ")</f>
        <v>1.8162920618422762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-2.3798033958891867</v>
      </c>
      <c r="BM19" s="888">
        <f>IF(ISNUMBER((Datos!P19-Datos!Q19+R19)/(Datos!R19-Datos!P19+Datos!Q19-R19)),(Datos!P19-Datos!Q19+R19)/(Datos!R19-Datos!P19+Datos!Q19-R19)," - ")</f>
        <v>9.5596263496299891E-2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1133.9159286884249</v>
      </c>
      <c r="G21" s="551">
        <f>IF(ISNUMBER(STDEV(G8:G18)),STDEV(G8:G18),"-")</f>
        <v>1575.6884844410079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2642.7608291330489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1179.0819673433589</v>
      </c>
      <c r="BD21" s="550"/>
      <c r="BE21" s="550">
        <f>IF(ISNUMBER(STDEV(BE8:BE18)),STDEV(BE8:BE18),"-")</f>
        <v>0</v>
      </c>
      <c r="BF21" s="555">
        <f>IF(ISNUMBER(STDEV(BF8:BF18)),STDEV(BF8:BF18),"-")</f>
        <v>0</v>
      </c>
      <c r="BG21" s="774">
        <f>IF(ISNUMBER(STDEV(BG8:BG18)),STDEV(BG8:BG18),"-")</f>
        <v>0.18152045468602968</v>
      </c>
      <c r="BH21" s="775">
        <f>IF(ISNUMBER(STDEV(BH8:BH18)),STDEV(BH8:BH18),"-")</f>
        <v>17.219539903067883</v>
      </c>
      <c r="BI21" s="248">
        <f>IF(ISNUMBER(STDEV(BI8:BI18)),STDEV(BI8:BI18),"-")</f>
        <v>8.7755082958772698E-2</v>
      </c>
      <c r="BJ21" s="229" t="str">
        <f>IF(ISNUMBER(BL21/BM21),BL21/BM21," - ")</f>
        <v xml:space="preserve"> - </v>
      </c>
      <c r="BK21" s="574"/>
      <c r="BL21" s="558">
        <f>IF(ISNUMBER(STDEV(BL8:BL18)),STDEV(BL8:BL18),"-")</f>
        <v>1.6055746098663197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FHzdW2zQZ2pfOQoFBJZokWXW0cWuLVHqksRejpgYE0ZcQTagZLmX8AjRsSSmL6xThhUc832b5LgrN/E4mw/vw==" saltValue="Le2EWiBT6fkr7W0ZM/cb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FERROL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2420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1570</v>
      </c>
      <c r="AA9" s="331" t="str">
        <f>IF(ISNUMBER(IF(J_V="SI",Datos!L9,Datos!L9+Datos!AB9)-IF(Monitorios="SI",Datos!CD9,0)),
                          IF(J_V="SI",Datos!L9,Datos!L9+Datos!AB9)-IF(Monitorios="SI",Datos!CD9,0),
                          " - ")</f>
        <v xml:space="preserve"> - </v>
      </c>
      <c r="AB9" s="333"/>
      <c r="AC9" s="333"/>
      <c r="AD9" s="483"/>
      <c r="AE9" s="483">
        <f>IF(ISNUMBER(Datos!R9),Datos!R9," - ")</f>
        <v>8396</v>
      </c>
      <c r="AF9" s="228" t="str">
        <f>IF(ISNUMBER(Datos!BV9),Datos!BV9," - ")</f>
        <v xml:space="preserve"> - </v>
      </c>
      <c r="AG9" s="224" t="str">
        <f>IF(ISNUMBER(Datos!DV9),Datos!DV9," - ")</f>
        <v xml:space="preserve"> - </v>
      </c>
      <c r="AH9" s="297"/>
      <c r="AI9" s="226"/>
      <c r="AJ9" s="224">
        <f>IF(ISNUMBER(Datos!M9),Datos!M9," - ")</f>
        <v>2587</v>
      </c>
      <c r="AK9" s="228">
        <f>IF(ISNUMBER(Datos!N9),Datos!N9," - ")</f>
        <v>3181</v>
      </c>
      <c r="AL9" s="228" t="str">
        <f>IF(ISNUMBER(Datos!BW9),Datos!BW9," - ")</f>
        <v xml:space="preserve"> - </v>
      </c>
      <c r="AM9" s="227" t="str">
        <f>IF(ISNUMBER(Datos!BX9),Datos!BX9," - ")</f>
        <v xml:space="preserve"> - </v>
      </c>
      <c r="AN9" s="242"/>
      <c r="AO9" s="259">
        <f>IF(ISNUMBER(((NºAsuntos!I9/NºAsuntos!G9)*11)/factor_trimestre),((NºAsuntos!I9/NºAsuntos!G9)*11)/factor_trimestre," - ")</f>
        <v>4.1646900872678456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0.11264245958123509</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137</v>
      </c>
      <c r="G10" s="224">
        <f>IF(ISNUMBER(Datos!I10),Datos!I10," - ")</f>
        <v>137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34</v>
      </c>
      <c r="Z10" s="618">
        <f>IF(ISNUMBER(Datos!Q10),Datos!Q10," - ")</f>
        <v>16</v>
      </c>
      <c r="AA10" s="331">
        <f>IF(ISNUMBER(Datos!L10),Datos!L10,"-")</f>
        <v>161</v>
      </c>
      <c r="AB10" s="333"/>
      <c r="AC10" s="333"/>
      <c r="AD10" s="483"/>
      <c r="AE10" s="483">
        <f>IF(ISNUMBER(Datos!R10),Datos!R10," - ")</f>
        <v>85</v>
      </c>
      <c r="AF10" s="228" t="str">
        <f>IF(ISNUMBER(Datos!BV10),Datos!BV10," - ")</f>
        <v xml:space="preserve"> - </v>
      </c>
      <c r="AG10" s="224" t="str">
        <f>IF(ISNUMBER(Datos!DV10),Datos!DV10," - ")</f>
        <v xml:space="preserve"> - </v>
      </c>
      <c r="AH10" s="297"/>
      <c r="AI10" s="226"/>
      <c r="AJ10" s="224">
        <f>IF(ISNUMBER(Datos!M10),Datos!M10," - ")</f>
        <v>18</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52.088235294117645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126</v>
      </c>
      <c r="AA11" s="331" t="str">
        <f>IF(ISNUMBER(IF(J_V="SI",Datos!L11,Datos!L11+Datos!AB11)-IF(Monitorios="SI",Datos!CD11,0)),
                          IF(J_V="SI",Datos!L11,Datos!L11+Datos!AB11)-IF(Monitorios="SI",Datos!CD11,0),
                          " - ")</f>
        <v xml:space="preserve"> - </v>
      </c>
      <c r="AB11" s="333"/>
      <c r="AC11" s="333"/>
      <c r="AD11" s="483"/>
      <c r="AE11" s="483">
        <f>IF(ISNUMBER(Datos!R11),Datos!R11," - ")</f>
        <v>157</v>
      </c>
      <c r="AF11" s="228" t="str">
        <f>IF(ISNUMBER(Datos!BV11),Datos!BV11," - ")</f>
        <v xml:space="preserve"> - </v>
      </c>
      <c r="AG11" s="224" t="str">
        <f>IF(ISNUMBER(Datos!DV11),Datos!DV11," - ")</f>
        <v xml:space="preserve"> - </v>
      </c>
      <c r="AH11" s="297"/>
      <c r="AI11" s="226"/>
      <c r="AJ11" s="224">
        <f>IF(ISNUMBER(Datos!M11),Datos!M11," - ")</f>
        <v>412</v>
      </c>
      <c r="AK11" s="228">
        <f>IF(ISNUMBER(Datos!N11),Datos!N11," - ")</f>
        <v>606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3.8713066316480633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-0.13736263736263737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v>
      </c>
      <c r="AA12" s="331" t="str">
        <f>IF(ISNUMBER(IF(J_V="SI",Datos!L12,Datos!L12+Datos!AB12)-IF(Monitorios="SI",Datos!CD12,0)),
                          IF(J_V="SI",Datos!L12,Datos!L12+Datos!AB12)-IF(Monitorios="SI",Datos!CD12,0),
                          " - ")</f>
        <v xml:space="preserve"> - </v>
      </c>
      <c r="AB12" s="333"/>
      <c r="AC12" s="333"/>
      <c r="AD12" s="483"/>
      <c r="AE12" s="483">
        <f>IF(ISNUMBER(Datos!R12),Datos!R12," - ")</f>
        <v>103</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24.61904761904762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-3.7383177570093455E-2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137</v>
      </c>
      <c r="G13" s="897">
        <f>SUBTOTAL(9,G8:G12)</f>
        <v>137</v>
      </c>
      <c r="H13" s="907"/>
      <c r="I13" s="897">
        <f t="shared" ref="I13:N13" si="0">SUBTOTAL(9,I8:I12)</f>
        <v>0</v>
      </c>
      <c r="J13" s="866">
        <f t="shared" si="0"/>
        <v>0</v>
      </c>
      <c r="K13" s="907">
        <f t="shared" si="0"/>
        <v>0</v>
      </c>
      <c r="L13" s="907">
        <f t="shared" si="0"/>
        <v>0</v>
      </c>
      <c r="M13" s="907">
        <f t="shared" si="0"/>
        <v>0</v>
      </c>
      <c r="N13" s="907">
        <f t="shared" si="0"/>
        <v>2537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34</v>
      </c>
      <c r="Z13" s="906">
        <f t="shared" si="2"/>
        <v>1716</v>
      </c>
      <c r="AA13" s="899">
        <f t="shared" si="2"/>
        <v>161</v>
      </c>
      <c r="AB13" s="899">
        <f t="shared" si="2"/>
        <v>0</v>
      </c>
      <c r="AC13" s="899">
        <f t="shared" si="2"/>
        <v>0</v>
      </c>
      <c r="AD13" s="899">
        <f t="shared" si="2"/>
        <v>0</v>
      </c>
      <c r="AE13" s="899">
        <f t="shared" si="2"/>
        <v>8741</v>
      </c>
      <c r="AF13" s="907">
        <f t="shared" si="2"/>
        <v>0</v>
      </c>
      <c r="AG13" s="907">
        <f t="shared" si="2"/>
        <v>0</v>
      </c>
      <c r="AH13" s="907">
        <f t="shared" si="2"/>
        <v>0</v>
      </c>
      <c r="AI13" s="907">
        <f t="shared" si="2"/>
        <v>0</v>
      </c>
      <c r="AJ13" s="907">
        <f t="shared" si="2"/>
        <v>3017</v>
      </c>
      <c r="AK13" s="907">
        <f t="shared" si="2"/>
        <v>3792</v>
      </c>
      <c r="AL13" s="907">
        <f t="shared" si="2"/>
        <v>0</v>
      </c>
      <c r="AM13" s="907">
        <f t="shared" si="2"/>
        <v>0</v>
      </c>
      <c r="AN13" s="907">
        <f t="shared" si="2"/>
        <v>0</v>
      </c>
      <c r="AO13" s="903">
        <f>IF(ISNUMBER(((NºAsuntos!I13/NºAsuntos!G13)*11)/factor_trimestre),((NºAsuntos!I13/NºAsuntos!G13)*11)/factor_trimestre," - ")</f>
        <v>4.3179916317991633</v>
      </c>
      <c r="AP13" s="909" t="str">
        <f>IF(ISNUMBER(Datos!CI13/Datos!CJ13),Datos!CI13/Datos!CJ13," - ")</f>
        <v xml:space="preserve"> - </v>
      </c>
      <c r="AQ13" s="927">
        <f t="shared" ref="AQ13:AV13" si="3">SUBTOTAL(9,AQ9:AQ12)</f>
        <v>0</v>
      </c>
      <c r="AR13" s="927">
        <f t="shared" si="3"/>
        <v>-6.2103355351495741E-2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2101</v>
      </c>
      <c r="G15" s="224">
        <f>IF(ISNUMBER(IF(D_I="SI",Datos!I15,Datos!I15+Datos!AC15)),IF(D_I="SI",Datos!I15,Datos!I15+Datos!AC15)," - ")</f>
        <v>2929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260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4722</v>
      </c>
      <c r="Z15" s="618">
        <f>IF(ISNUMBER(Datos!Q15),Datos!Q15," - ")</f>
        <v>297</v>
      </c>
      <c r="AA15" s="331">
        <f>IF(ISNUMBER(IF(D_I="SI",Datos!L15,Datos!L15+Datos!AF15)),IF(D_I="SI",Datos!L15,Datos!L15+Datos!AF15)," - ")</f>
        <v>2353</v>
      </c>
      <c r="AB15" s="333"/>
      <c r="AC15" s="333"/>
      <c r="AD15" s="483"/>
      <c r="AE15" s="483">
        <f>IF(ISNUMBER(Datos!R15),Datos!R15," - ")</f>
        <v>283</v>
      </c>
      <c r="AF15" s="228" t="str">
        <f>IF(ISNUMBER(Datos!BV15),Datos!BV15," - ")</f>
        <v xml:space="preserve"> - </v>
      </c>
      <c r="AG15" s="224"/>
      <c r="AH15" s="297"/>
      <c r="AI15" s="226"/>
      <c r="AJ15" s="224">
        <f>IF(ISNUMBER(Datos!M15),Datos!M15," - ")</f>
        <v>899</v>
      </c>
      <c r="AK15" s="228">
        <f>IF(ISNUMBER(Datos!N15),Datos!N15," - ")</f>
        <v>2123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5.4813638288860655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570</v>
      </c>
      <c r="Z17" s="618">
        <f>IF(ISNUMBER(Datos!Q17),Datos!Q17," - ")</f>
        <v>1</v>
      </c>
      <c r="AA17" s="331">
        <f>IF(ISNUMBER(Datos!L17),Datos!L17,"-")</f>
        <v>251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92</v>
      </c>
      <c r="AK17" s="228">
        <f>IF(ISNUMBER(Datos!N17),Datos!N17," - ")</f>
        <v>231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4.8438596491228072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2101</v>
      </c>
      <c r="G18" s="897">
        <f>SUBTOTAL(9,G15:G17)</f>
        <v>3141</v>
      </c>
      <c r="H18" s="931">
        <f>SUBTOTAL(9,H15:H17)</f>
        <v>0</v>
      </c>
      <c r="I18" s="910">
        <f>SUBTOTAL(9,I15:I17)</f>
        <v>0</v>
      </c>
      <c r="J18" s="866">
        <f>SUBTOTAL(9,J14:J17)</f>
        <v>0</v>
      </c>
      <c r="K18" s="931">
        <f t="shared" ref="K18:S18" si="4">SUBTOTAL(9,K15:K17)</f>
        <v>0</v>
      </c>
      <c r="L18" s="931">
        <f t="shared" si="4"/>
        <v>0</v>
      </c>
      <c r="M18" s="931">
        <f t="shared" si="4"/>
        <v>0</v>
      </c>
      <c r="N18" s="931">
        <f t="shared" si="4"/>
        <v>265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5292</v>
      </c>
      <c r="Z18" s="931">
        <f t="shared" si="5"/>
        <v>298</v>
      </c>
      <c r="AA18" s="931">
        <f t="shared" si="5"/>
        <v>2604</v>
      </c>
      <c r="AB18" s="931">
        <f t="shared" si="5"/>
        <v>0</v>
      </c>
      <c r="AC18" s="931">
        <f t="shared" si="5"/>
        <v>0</v>
      </c>
      <c r="AD18" s="931">
        <f t="shared" si="5"/>
        <v>0</v>
      </c>
      <c r="AE18" s="931">
        <f t="shared" si="5"/>
        <v>290</v>
      </c>
      <c r="AF18" s="931">
        <f t="shared" si="5"/>
        <v>0</v>
      </c>
      <c r="AG18" s="931">
        <f t="shared" si="5"/>
        <v>0</v>
      </c>
      <c r="AH18" s="931">
        <f t="shared" si="5"/>
        <v>0</v>
      </c>
      <c r="AI18" s="931">
        <f t="shared" si="5"/>
        <v>0</v>
      </c>
      <c r="AJ18" s="931">
        <f t="shared" si="5"/>
        <v>991</v>
      </c>
      <c r="AK18" s="931">
        <f t="shared" si="5"/>
        <v>2354</v>
      </c>
      <c r="AL18" s="931">
        <f t="shared" si="5"/>
        <v>0</v>
      </c>
      <c r="AM18" s="931">
        <f t="shared" si="5"/>
        <v>0</v>
      </c>
      <c r="AN18" s="931">
        <f t="shared" si="5"/>
        <v>0</v>
      </c>
      <c r="AO18" s="933">
        <f>IF(ISNUMBER(((NºAsuntos!I18/NºAsuntos!G18)*11)/factor_trimestre),((NºAsuntos!I18/NºAsuntos!G18)*11)/factor_trimestre," - ")</f>
        <v>5.4126984126984121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2238</v>
      </c>
      <c r="G19" s="819">
        <f t="shared" si="7"/>
        <v>3278</v>
      </c>
      <c r="H19" s="820">
        <f t="shared" si="7"/>
        <v>0</v>
      </c>
      <c r="I19" s="819">
        <f t="shared" si="7"/>
        <v>0</v>
      </c>
      <c r="J19" s="821">
        <f t="shared" si="7"/>
        <v>0</v>
      </c>
      <c r="K19" s="819">
        <f t="shared" si="7"/>
        <v>0</v>
      </c>
      <c r="L19" s="822">
        <f t="shared" si="7"/>
        <v>0</v>
      </c>
      <c r="M19" s="819">
        <f t="shared" si="7"/>
        <v>0</v>
      </c>
      <c r="N19" s="820">
        <f t="shared" si="7"/>
        <v>2802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5326</v>
      </c>
      <c r="Z19" s="826">
        <f t="shared" si="8"/>
        <v>2014</v>
      </c>
      <c r="AA19" s="827">
        <f t="shared" si="8"/>
        <v>2765</v>
      </c>
      <c r="AB19" s="827">
        <f t="shared" si="8"/>
        <v>0</v>
      </c>
      <c r="AC19" s="827">
        <f t="shared" si="8"/>
        <v>0</v>
      </c>
      <c r="AD19" s="828">
        <f t="shared" si="8"/>
        <v>0</v>
      </c>
      <c r="AE19" s="828">
        <f t="shared" si="8"/>
        <v>9031</v>
      </c>
      <c r="AF19" s="829">
        <f t="shared" si="8"/>
        <v>0</v>
      </c>
      <c r="AG19" s="830">
        <f t="shared" si="8"/>
        <v>0</v>
      </c>
      <c r="AH19" s="831">
        <f t="shared" si="8"/>
        <v>0</v>
      </c>
      <c r="AI19" s="829">
        <f t="shared" si="8"/>
        <v>0</v>
      </c>
      <c r="AJ19" s="819">
        <f t="shared" si="8"/>
        <v>4008</v>
      </c>
      <c r="AK19" s="819">
        <f t="shared" si="8"/>
        <v>6146</v>
      </c>
      <c r="AL19" s="819">
        <f t="shared" si="8"/>
        <v>0</v>
      </c>
      <c r="AM19" s="832">
        <f t="shared" si="8"/>
        <v>0</v>
      </c>
      <c r="AN19" s="822">
        <f>IF(ISNUMBER(Datos!K19/Datos!J19),Datos!K19/Datos!J19," - ")</f>
        <v>1.0432761087267526</v>
      </c>
      <c r="AO19" s="822">
        <f>IF(ISNUMBER(FIND("06",Criterios!A8,1)),(IF(ISNUMBER(((Datos!R19/Datos!Q19)*11)/factor_trimestre),((Datos!R19/Datos!Q19)*11)/factor_trimestre," - ")),(IF(ISNUMBER(((Datos!L19/Datos!K19)*11)/factor_trimestre),((Datos!L19/Datos!K19)*11)/factor_trimestre," - ")))</f>
        <v>4.8849502913952687</v>
      </c>
      <c r="AP19" s="833" t="str">
        <f>IF(ISNUMBER(Datos!CI19/Datos!CJ19),Datos!CI19/Datos!CJ19," - ")</f>
        <v xml:space="preserve"> - </v>
      </c>
      <c r="AQ19" s="833">
        <f>IF(OR(ISNUMBER(FIND("01",Criterios!A8,1)),ISNUMBER(FIND("02",Criterios!A8,1)),ISNUMBER(FIND("03",Criterios!A8,1)),ISNUMBER(FIND("04",Criterios!A8,1))),(J19-Y19+K19)/(F19-K19),(I19-Y19+K19)/(F19-K19))</f>
        <v>-2.3798033958891867</v>
      </c>
      <c r="AR19" s="833">
        <f>IF(ISNUMBER((Datos!P19-Datos!Q19+O19)/(Datos!R19-Datos!P19+Datos!Q19-O19)),(Datos!P19-Datos!Q19+O19)/(Datos!R19-Datos!P19+Datos!Q19-O19)," - ")</f>
        <v>9.5596263496299891E-2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1133.9159286884249</v>
      </c>
      <c r="G21" s="551">
        <f>IF(ISNUMBER(STDEV(G8:G18)),STDEV(G8:G18),"-")</f>
        <v>1575.6884844410079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1179.0819673433589</v>
      </c>
      <c r="AK21" s="251"/>
      <c r="AL21" s="251">
        <f>IF(ISNUMBER(STDEV(AL8:AL18)),STDEV(AL8:AL18),"-")</f>
        <v>0</v>
      </c>
      <c r="AM21" s="253">
        <f>IF(ISNUMBER(STDEV(AM8:AM18)),STDEV(AM8:AM18),"-")</f>
        <v>0</v>
      </c>
      <c r="AN21" s="538">
        <f>IF(ISNUMBER(STDEV(AN8:AN18)),STDEV(AN8:AN18),"-")</f>
        <v>0</v>
      </c>
      <c r="AO21" s="539">
        <f>IF(ISNUMBER(STDEV(AO8:AO18)),STDEV(AO8:AO18),"-")</f>
        <v>17.238682586041747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tAWbD8phlTAfpX0YdNEHSlTcT8EGjbP8yUV9q6YYQ0PgiwgoNj0ntKHVck18p5kvEWH3Wfn480mSea+7i8vug==" saltValue="q5Lxc9PnxuFUN3v2nheD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uxdnnUSJUK1xfX2MRuv2+e3gon8bs1uT2x3XW6/I/uslCkCTmFSmMU8zPNmYDbXjwWOn3SAOdtJiXoYjDwxiOg==" saltValue="dA2kJKJqK0HgcbmcUFke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3/PEi5W+b4JCQmy2d35Bsv8wxXAb680r9F0fULPEflBPaKlkd70cCMPA2j6PQ5wQ5wfQm0vnz71IVejT9EUkA==" saltValue="pUbPSdCkeR6AL5PFoafEE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0.28689615823507036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0.202866218984387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rDxP5+rhy98Tr9GYpT04iJfygyMysmhgEUWdtRd1dHveADzAtU8MbVQqGPOOKiTsBER0vgj1WOnF0+45xZGHA==" saltValue="GE4YXh8b73gQHE0orjt1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WiJ8DrrN1S1rTeVVmudr/ayzFeHPXAYrt+jA0sEYgN85fEyTjGVgs2DQWHX3HN+MTWU+W0HezAZ9fzbQQoAcSg==" saltValue="p1VFyUxo6jlqSwc2cl50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FERROL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3951</v>
      </c>
      <c r="D9" s="403">
        <f>IF(ISNUMBER(C9/Datos!BH9),C9/Datos!BH9," - ")</f>
        <v>790.2</v>
      </c>
      <c r="E9" s="402">
        <f>IF(ISNUMBER(IF(J_V="SI",Datos!J9,Datos!J9+Datos!Z9)),IF(J_V="SI",Datos!J9,Datos!J9+Datos!Z9)," - ")</f>
        <v>8186</v>
      </c>
      <c r="F9" s="403">
        <f>IF(ISNUMBER(E9/B9),E9/B9," - ")</f>
        <v>1637.2</v>
      </c>
      <c r="G9" s="402">
        <f>IF(ISNUMBER(IF(J_V="SI",Datos!K9,Datos!K9+Datos!AA9)),IF(J_V="SI",Datos!K9,Datos!K9+Datos!AA9)," - ")</f>
        <v>8938</v>
      </c>
      <c r="H9" s="403">
        <f>IF(ISNUMBER(G9/B9),G9/B9," - ")</f>
        <v>1787.6</v>
      </c>
      <c r="I9" s="402">
        <f>IF(ISNUMBER(IF(J_V="SI",Datos!L9,Datos!L9+Datos!AB9)),IF(J_V="SI",Datos!L9,Datos!L9+Datos!AB9)," - ")</f>
        <v>3384</v>
      </c>
      <c r="J9" s="403">
        <f>IF(ISNUMBER(I9/B9),I9/B9," - ")</f>
        <v>676.8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137</v>
      </c>
      <c r="D10" s="403">
        <f>IF(ISNUMBER(C10/Datos!BH10),C10/Datos!BH10," - ")</f>
        <v>137</v>
      </c>
      <c r="E10" s="402">
        <f>IF(ISNUMBER(Datos!J10),Datos!J10," - ")</f>
        <v>58</v>
      </c>
      <c r="F10" s="403">
        <f>IF(ISNUMBER(E10/B10),E10/B10," - ")</f>
        <v>58</v>
      </c>
      <c r="G10" s="402">
        <f>IF(ISNUMBER(Datos!K10),Datos!K10," - ")</f>
        <v>34</v>
      </c>
      <c r="H10" s="403">
        <f>IF(ISNUMBER(G10/B10),G10/B10," - ")</f>
        <v>34</v>
      </c>
      <c r="I10" s="402">
        <f>IF(ISNUMBER(Datos!L10),Datos!L10," - ")</f>
        <v>161</v>
      </c>
      <c r="J10" s="403">
        <f>IF(ISNUMBER(I10/B10),I10/B10," - ")</f>
        <v>161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536</v>
      </c>
      <c r="D11" s="403">
        <f>IF(ISNUMBER(C11/Datos!BH11),C11/Datos!BH11," - ")</f>
        <v>536</v>
      </c>
      <c r="E11" s="402">
        <f>IF(ISNUMBER(IF(J_V="SI",Datos!J11,Datos!J11+Datos!Z11)),IF(J_V="SI",Datos!J11,Datos!J11+Datos!Z11)," - ")</f>
        <v>1405</v>
      </c>
      <c r="F11" s="403">
        <f>IF(ISNUMBER(E11/B11),E11/B11," - ")</f>
        <v>1405</v>
      </c>
      <c r="G11" s="402">
        <f>IF(ISNUMBER(IF(J_V="SI",Datos!K11,Datos!K11+Datos!AA11)),IF(J_V="SI",Datos!K11,Datos!K11+Datos!AA11)," - ")</f>
        <v>1523</v>
      </c>
      <c r="H11" s="403">
        <f>IF(ISNUMBER(G11/B11),G11/B11," - ")</f>
        <v>1523</v>
      </c>
      <c r="I11" s="402">
        <f>IF(ISNUMBER(IF(J_V="SI",Datos!L11,Datos!L11+Datos!AB11)),IF(J_V="SI",Datos!L11,Datos!L11+Datos!AB11)," - ")</f>
        <v>536</v>
      </c>
      <c r="J11" s="403">
        <f>IF(ISNUMBER(I11/B11),I11/B11," - ")</f>
        <v>536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68</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21</v>
      </c>
      <c r="H12" s="403" t="str">
        <f>IF(ISNUMBER(G12/B12),G12/B12," - ")</f>
        <v xml:space="preserve"> - </v>
      </c>
      <c r="I12" s="402">
        <f>IF(ISNUMBER(IF(J_V="SI",Datos!L12,Datos!L12+Datos!AB12)),IF(J_V="SI",Datos!L12,Datos!L12+Datos!AB12)," - ")</f>
        <v>47</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4692</v>
      </c>
      <c r="D13" s="849" t="str">
        <f>IF(ISNUMBER(C13/Datos!BI13),C13/Datos!BI13," - ")</f>
        <v xml:space="preserve"> - </v>
      </c>
      <c r="E13" s="848">
        <f>SUBTOTAL(9,E8:E12)</f>
        <v>9649</v>
      </c>
      <c r="F13" s="849">
        <f>IF(ISNUMBER(E13/B13),E13/B13," - ")</f>
        <v>1608.1666666666667</v>
      </c>
      <c r="G13" s="848">
        <f>SUBTOTAL(9,G8:G12)</f>
        <v>10516</v>
      </c>
      <c r="H13" s="849">
        <f>IF(ISNUMBER(G13/B13),G13/B13," - ")</f>
        <v>1752.6666666666667</v>
      </c>
      <c r="I13" s="848">
        <f>SUBTOTAL(9,I8:I12)</f>
        <v>4128</v>
      </c>
      <c r="J13" s="849">
        <f>IF(ISNUMBER(I13/B13),I13/B13," - ")</f>
        <v>688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2929</v>
      </c>
      <c r="D15" s="403">
        <f>IF(ISNUMBER(C15/Datos!BH15),C15/Datos!BH15," - ")</f>
        <v>976.33333333333337</v>
      </c>
      <c r="E15" s="402">
        <f>IF(ISNUMBER(IF(D_I="SI",Datos!J15,Datos!J15+Datos!AD15)),IF(D_I="SI",Datos!J15,Datos!J15+Datos!AD15)," - ")</f>
        <v>4974</v>
      </c>
      <c r="F15" s="403">
        <f>IF(ISNUMBER(E15/B15),E15/B15," - ")</f>
        <v>1658</v>
      </c>
      <c r="G15" s="402">
        <f>IF(ISNUMBER(IF(D_I="SI",Datos!K15,Datos!K15+Datos!AE15)),IF(D_I="SI",Datos!K15,Datos!K15+Datos!AE15)," - ")</f>
        <v>4722</v>
      </c>
      <c r="H15" s="403">
        <f>IF(ISNUMBER(G15/B15),G15/B15," - ")</f>
        <v>1574</v>
      </c>
      <c r="I15" s="402">
        <f>IF(ISNUMBER(IF(D_I="SI",Datos!L15,Datos!L15+Datos!AF15)),IF(D_I="SI",Datos!L15,Datos!L15+Datos!AF15)," - ")</f>
        <v>2353</v>
      </c>
      <c r="J15" s="403">
        <f>IF(ISNUMBER(I15/B15),I15/B15," - ")</f>
        <v>784.33333333333337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212</v>
      </c>
      <c r="D17" s="403">
        <f>IF(ISNUMBER(C17/Datos!BH17),C17/Datos!BH17," - ")</f>
        <v>212</v>
      </c>
      <c r="E17" s="402">
        <f>IF(ISNUMBER(IF(D_I="SI",Datos!J17,Datos!J17+Datos!AD17)),IF(D_I="SI",Datos!J17,Datos!J17+Datos!AD17)," - ")</f>
        <v>629</v>
      </c>
      <c r="F17" s="403">
        <f>IF(ISNUMBER(E17/B17),E17/B17," - ")</f>
        <v>629</v>
      </c>
      <c r="G17" s="402">
        <f>IF(ISNUMBER(IF(D_I="SI",Datos!K17,Datos!K17+Datos!AE17)),IF(D_I="SI",Datos!K17,Datos!K17+Datos!AE17)," - ")</f>
        <v>570</v>
      </c>
      <c r="H17" s="403">
        <f>IF(ISNUMBER(G17/B17),G17/B17," - ")</f>
        <v>570</v>
      </c>
      <c r="I17" s="402">
        <f>IF(ISNUMBER(IF(D_I="SI",Datos!L17,Datos!L17+Datos!AF17)),IF(D_I="SI",Datos!L17,Datos!L17+Datos!AF17)," - ")</f>
        <v>251</v>
      </c>
      <c r="J17" s="403">
        <f>IF(ISNUMBER(I17/B17),I17/B17," - ")</f>
        <v>251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3141</v>
      </c>
      <c r="D18" s="849" t="str">
        <f>IF(ISNUMBER(C18/Datos!BI18),C18/Datos!BI18," - ")</f>
        <v xml:space="preserve"> - </v>
      </c>
      <c r="E18" s="848">
        <f>SUBTOTAL(9,E14:E17)</f>
        <v>5603</v>
      </c>
      <c r="F18" s="849">
        <f>IF(ISNUMBER(E18/B18),E18/B18," - ")</f>
        <v>1867.6666666666667</v>
      </c>
      <c r="G18" s="848">
        <f>SUBTOTAL(9,G14:G17)</f>
        <v>5292</v>
      </c>
      <c r="H18" s="849">
        <f>IF(ISNUMBER(G18/B18),G18/B18," - ")</f>
        <v>1764</v>
      </c>
      <c r="I18" s="848">
        <f>SUBTOTAL(9,I14:I17)</f>
        <v>2604</v>
      </c>
      <c r="J18" s="849">
        <f>IF(ISNUMBER(I18/B18),I18/B18," - ")</f>
        <v>868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7833</v>
      </c>
      <c r="D19" s="794" t="str">
        <f>IF(ISNUMBER(C19/Datos!BI19),C19/Datos!BI19," - ")</f>
        <v xml:space="preserve"> - </v>
      </c>
      <c r="E19" s="793">
        <f>SUBTOTAL(9,E9:E18)</f>
        <v>15252</v>
      </c>
      <c r="F19" s="794">
        <f>IF(ISNUMBER(E19/B19),E19/B19," - ")</f>
        <v>1694.6666666666667</v>
      </c>
      <c r="G19" s="793">
        <f>SUBTOTAL(9,G9:G18)</f>
        <v>15808</v>
      </c>
      <c r="H19" s="794">
        <f>IF(ISNUMBER(G19/B19),G19/B19," - ")</f>
        <v>1756.4444444444443</v>
      </c>
      <c r="I19" s="793">
        <f>SUBTOTAL(9,I9:I18)</f>
        <v>6732</v>
      </c>
      <c r="J19" s="794">
        <f>IF(ISNUMBER(I19/B19),I19/B19," - ")</f>
        <v>748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xt9VYwKakYjiq7eZesjLizOzjFqnt4w1k1+IRqQTeX9GxThGvpXmqSF+xlT87mhUURBe5GbJRVKzBxAIMxOlg==" saltValue="yLp6crsR19FmhRHDvBxN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FERROL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137</v>
      </c>
      <c r="G10" s="683">
        <f>IF(ISNUMBER(Datos!I10),Datos!I10," - ")</f>
        <v>137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34</v>
      </c>
      <c r="AC10" s="682" t="str">
        <f>IF(ISNUMBER(IF(D_I="SI",DatosP!K17,DatosP!K17+DatosP!AE17)),IF(D_I="SI",DatosP!K17,DatosP!K17+DatosP!AE17)," - ")</f>
        <v xml:space="preserve"> - </v>
      </c>
      <c r="AD10" s="684"/>
      <c r="AE10" s="684"/>
      <c r="AF10" s="687">
        <f>IF(ISNUMBER(Datos!L10),Datos!L10,"-")</f>
        <v>161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52.088235294117645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24.61904761904762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-3.7383177570093455E-2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137</v>
      </c>
      <c r="G13" s="937">
        <f t="shared" si="0"/>
        <v>137</v>
      </c>
      <c r="H13" s="937">
        <f t="shared" si="0"/>
        <v>0</v>
      </c>
      <c r="I13" s="939">
        <f t="shared" si="0"/>
        <v>0</v>
      </c>
      <c r="J13" s="938">
        <f t="shared" si="0"/>
        <v>0</v>
      </c>
      <c r="K13" s="938">
        <f t="shared" si="0"/>
        <v>0</v>
      </c>
      <c r="L13" s="940">
        <f t="shared" si="0"/>
        <v>0</v>
      </c>
      <c r="M13" s="940">
        <f t="shared" si="0"/>
        <v>0</v>
      </c>
      <c r="N13" s="938">
        <f t="shared" si="0"/>
        <v>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34</v>
      </c>
      <c r="AC13" s="938">
        <f t="shared" si="1"/>
        <v>0</v>
      </c>
      <c r="AD13" s="938">
        <f t="shared" si="1"/>
        <v>4</v>
      </c>
      <c r="AE13" s="938">
        <f t="shared" si="1"/>
        <v>0</v>
      </c>
      <c r="AF13" s="938">
        <f t="shared" si="1"/>
        <v>161</v>
      </c>
      <c r="AG13" s="938">
        <f t="shared" si="1"/>
        <v>0</v>
      </c>
      <c r="AH13" s="938">
        <f t="shared" si="1"/>
        <v>103</v>
      </c>
      <c r="AI13" s="938">
        <f t="shared" si="1"/>
        <v>0</v>
      </c>
      <c r="AJ13" s="938">
        <f t="shared" si="1"/>
        <v>0</v>
      </c>
      <c r="AK13" s="938">
        <f t="shared" si="1"/>
        <v>0</v>
      </c>
      <c r="AL13" s="938">
        <f t="shared" si="1"/>
        <v>18</v>
      </c>
      <c r="AM13" s="938">
        <f t="shared" si="1"/>
        <v>5</v>
      </c>
      <c r="AN13" s="938">
        <f t="shared" si="1"/>
        <v>0</v>
      </c>
      <c r="AO13" s="938">
        <f t="shared" si="1"/>
        <v>0</v>
      </c>
      <c r="AP13" s="943">
        <f>IF(ISNUMBER(((Datos!L13/Datos!K13)*11)/factor_trimestre),((Datos!L13/Datos!K13)*11)/factor_trimestre," - ")</f>
        <v>4.5844183794253741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-0.24817518248175183</v>
      </c>
      <c r="AU13" s="938" t="str">
        <f>IF(ISNUMBER((DatosP!#REF!-DatosP!#REF!+DatosP!#REF!)/(DatosP!#REF!+DatosP!#REF!-DatosP!#REF!-DatosP!#REF!)),(DatosP!#REF!-DatosP!#REF!+DatosP!#REF!)/(DatosP!#REF!+DatosP!#REF!-DatosP!#REF!-DatosP!#REF!)," - ")</f>
        <v xml:space="preserve"> - </v>
      </c>
      <c r="AV13" s="944">
        <f>SUBTOTAL(9,AV9:AV12)</f>
        <v>-3.7383177570093455E-2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5.4126984126984121</v>
      </c>
      <c r="AQ18" s="943">
        <f>IF(ISNUMBER(((Datos!M18/Datos!L18)*11)/factor_trimestre),((Datos!M18/Datos!L18)*11)/factor_trimestre," - ")</f>
        <v>4.1862519201228885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-0.1021671826625387</v>
      </c>
      <c r="AW18" s="945">
        <f>IF(ISNUMBER((Datos!Q18-Datos!R18)/(Datos!S18-Datos!Q18+Datos!R18)),(Datos!Q18-Datos!R18)/(Datos!S18-Datos!Q18+Datos!R18)," - ")</f>
        <v>3.2193158953722333E-3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137</v>
      </c>
      <c r="G19" s="950">
        <f t="shared" si="4"/>
        <v>137</v>
      </c>
      <c r="H19" s="950">
        <f t="shared" si="4"/>
        <v>0</v>
      </c>
      <c r="I19" s="951">
        <f t="shared" si="4"/>
        <v>0</v>
      </c>
      <c r="J19" s="952">
        <f t="shared" si="4"/>
        <v>0</v>
      </c>
      <c r="K19" s="952">
        <f t="shared" si="4"/>
        <v>0</v>
      </c>
      <c r="L19" s="952">
        <f t="shared" si="4"/>
        <v>0</v>
      </c>
      <c r="M19" s="952">
        <f t="shared" si="4"/>
        <v>0</v>
      </c>
      <c r="N19" s="951">
        <f t="shared" si="4"/>
        <v>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34</v>
      </c>
      <c r="AC19" s="956">
        <f t="shared" si="5"/>
        <v>0</v>
      </c>
      <c r="AD19" s="956">
        <f t="shared" si="5"/>
        <v>4</v>
      </c>
      <c r="AE19" s="956">
        <f t="shared" si="5"/>
        <v>0</v>
      </c>
      <c r="AF19" s="957">
        <f t="shared" si="5"/>
        <v>161</v>
      </c>
      <c r="AG19" s="957">
        <f t="shared" si="5"/>
        <v>0</v>
      </c>
      <c r="AH19" s="957">
        <f t="shared" si="5"/>
        <v>103</v>
      </c>
      <c r="AI19" s="957">
        <f t="shared" si="5"/>
        <v>0</v>
      </c>
      <c r="AJ19" s="958">
        <f t="shared" si="5"/>
        <v>0</v>
      </c>
      <c r="AK19" s="958">
        <f t="shared" si="5"/>
        <v>0</v>
      </c>
      <c r="AL19" s="950">
        <f t="shared" si="5"/>
        <v>18</v>
      </c>
      <c r="AM19" s="950">
        <f t="shared" si="5"/>
        <v>5</v>
      </c>
      <c r="AN19" s="950">
        <f t="shared" si="5"/>
        <v>0</v>
      </c>
      <c r="AO19" s="950">
        <f t="shared" si="5"/>
        <v>0</v>
      </c>
      <c r="AP19" s="950">
        <f>IF(ISNUMBER(((Datos!L19/Datos!K19)*11)/factor_trimestre),((Datos!L19/Datos!K19)*11)/factor_trimestre," - ")</f>
        <v>4.8849502913952687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-0.24817518248175183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9.5596263496299891E-2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91.333333333333329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79.09698687897874</v>
      </c>
      <c r="G21" s="736">
        <f>IF(ISNUMBER(STDEV(G8:G18)),STDEV(G8:G18),"-")</f>
        <v>79.09698687897874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19.629909152447276</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22.287386011262861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z6a9fOqP5BYJaWGWPJHHTGDP9yln6UqzkiUKDi6xz5neGayOGcaQ3TgYOvUBs45CIsjG3QaC/KEW8WpAeDG6A==" saltValue="eHlP6noVPsuQGorNZSwB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A CORUÑA</v>
      </c>
      <c r="C3" s="414"/>
      <c r="F3" s="374"/>
      <c r="G3" s="374"/>
      <c r="H3" s="374"/>
    </row>
    <row r="4" spans="1:15" ht="13.5" thickBot="1">
      <c r="A4" s="374"/>
      <c r="B4" s="390" t="str">
        <f>Criterios!A11 &amp;"  "&amp;Criterios!B11</f>
        <v>Resumenes por Partidos Judiciales  FERROL</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P9H3NO/yRc49ajYe+BiMqTS02B/+iS68OR+s7CZs3FKvV20tRBodNnqJKhfUqcSJ3HUStlmc/hQdhFF3JTQKQ==" saltValue="sU/HALfDeM6PkiqDQx/E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FERROL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2587</v>
      </c>
      <c r="E9" s="403">
        <f t="shared" ref="E9:E13" si="0">IF(ISNUMBER(D9/B9),D9/B9," - ")</f>
        <v>517.4</v>
      </c>
      <c r="F9" s="402">
        <f>IF(ISNUMBER(Datos!N9),Datos!N9," - ")</f>
        <v>3181</v>
      </c>
      <c r="G9" s="403">
        <f t="shared" ref="G9:G13" si="1">IF(ISNUMBER(F9/B9),F9/B9," - ")</f>
        <v>636.20000000000005</v>
      </c>
      <c r="H9" s="402">
        <f>IF(ISNUMBER(Datos!O9),Datos!O9," - ")</f>
        <v>3721</v>
      </c>
      <c r="I9" s="403">
        <f>IF(ISNUMBER(H9/B9),H9/B9," - ")</f>
        <v>744.2</v>
      </c>
      <c r="BZ9" s="1185">
        <f>Datos!EZ9</f>
        <v>0</v>
      </c>
    </row>
    <row r="10" spans="1:78">
      <c r="A10" s="401" t="str">
        <f>Datos!A10</f>
        <v>Jdos. Violencia contra la mujer/Secc Viol. TI.</v>
      </c>
      <c r="B10" s="426">
        <f>Datos!AO10</f>
        <v>1</v>
      </c>
      <c r="C10" s="409">
        <f>Datos!AQ10</f>
        <v>0</v>
      </c>
      <c r="D10" s="402">
        <f>IF(ISNUMBER(Datos!M10),Datos!M10," - ")</f>
        <v>18</v>
      </c>
      <c r="E10" s="403">
        <f>IF(ISNUMBER(D10/B10),D10/B10," - ")</f>
        <v>18</v>
      </c>
      <c r="F10" s="402">
        <f>IF(ISNUMBER(Datos!N10),Datos!N10," - ")</f>
        <v>5</v>
      </c>
      <c r="G10" s="403">
        <f>IF(ISNUMBER(F10/B10),F10/B10," - ")</f>
        <v>5</v>
      </c>
      <c r="H10" s="402">
        <f>IF(ISNUMBER(Datos!O10),Datos!O10," - ")</f>
        <v>1</v>
      </c>
      <c r="I10" s="403">
        <f t="shared" ref="I10:I12" si="2">IF(ISNUMBER(H10/B10),H10/B10," - ")</f>
        <v>1</v>
      </c>
      <c r="BZ10" s="1185">
        <f>Datos!EZ10</f>
        <v>0</v>
      </c>
    </row>
    <row r="11" spans="1:78">
      <c r="A11" s="401" t="str">
        <f>Datos!A11</f>
        <v xml:space="preserve">Jdos. Familia                                   </v>
      </c>
      <c r="B11" s="426">
        <f>Datos!AO11</f>
        <v>1</v>
      </c>
      <c r="C11" s="409">
        <f>Datos!AQ11</f>
        <v>1</v>
      </c>
      <c r="D11" s="402">
        <f>IF(ISNUMBER(Datos!M11),Datos!M11," - ")</f>
        <v>412</v>
      </c>
      <c r="E11" s="403">
        <f t="shared" si="0"/>
        <v>412</v>
      </c>
      <c r="F11" s="402">
        <f>IF(ISNUMBER(Datos!N11),Datos!N11," - ")</f>
        <v>606</v>
      </c>
      <c r="G11" s="403">
        <f t="shared" si="1"/>
        <v>606</v>
      </c>
      <c r="H11" s="402">
        <f>IF(ISNUMBER(Datos!O11),Datos!O11," - ")</f>
        <v>483</v>
      </c>
      <c r="I11" s="403">
        <f t="shared" si="2"/>
        <v>483</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2</v>
      </c>
      <c r="I12" s="403" t="str">
        <f t="shared" si="2"/>
        <v xml:space="preserve"> - </v>
      </c>
      <c r="BZ12" s="1185">
        <f>Datos!EZ12</f>
        <v>0</v>
      </c>
    </row>
    <row r="13" spans="1:78" ht="14.25" thickTop="1" thickBot="1">
      <c r="A13" s="847" t="str">
        <f>Datos!A13</f>
        <v>TOTAL</v>
      </c>
      <c r="B13" s="848">
        <f>Datos!AP13</f>
        <v>6</v>
      </c>
      <c r="C13" s="850">
        <f>Datos!AR13</f>
        <v>6</v>
      </c>
      <c r="D13" s="848">
        <f>SUBTOTAL(9,D9:D12)</f>
        <v>3017</v>
      </c>
      <c r="E13" s="849">
        <f t="shared" si="0"/>
        <v>502.83333333333331</v>
      </c>
      <c r="F13" s="848">
        <f>SUBTOTAL(9,F9:F12)</f>
        <v>3792</v>
      </c>
      <c r="G13" s="849">
        <f t="shared" si="1"/>
        <v>632</v>
      </c>
      <c r="H13" s="848">
        <f>SUBTOTAL(9,H9:H12)</f>
        <v>4207</v>
      </c>
      <c r="I13" s="849">
        <f>IF(ISNUMBER(H13/B13),H13/B13," - ")</f>
        <v>701.16666666666663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899</v>
      </c>
      <c r="E15" s="403">
        <f t="shared" ref="E15:E18" si="3">IF(ISNUMBER(D15/B15),D15/B15," - ")</f>
        <v>299.66666666666669</v>
      </c>
      <c r="F15" s="402">
        <f>IF(ISNUMBER(Datos!N15),Datos!N15," - ")</f>
        <v>2123</v>
      </c>
      <c r="G15" s="403">
        <f t="shared" ref="G15:G18" si="4">IF(ISNUMBER(F15/B15),F15/B15," - ")</f>
        <v>707.66666666666663</v>
      </c>
      <c r="H15" s="402">
        <f>IF(ISNUMBER(Datos!O15),Datos!O15," - ")</f>
        <v>197</v>
      </c>
      <c r="I15" s="403">
        <f t="shared" ref="I15:I17" si="5">IF(ISNUMBER(H15/B15),H15/B15," - ")</f>
        <v>65.666666666666671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92</v>
      </c>
      <c r="E17" s="403">
        <f>IF(ISNUMBER(D17/B17),D17/B17," - ")</f>
        <v>92</v>
      </c>
      <c r="F17" s="402">
        <f>IF(ISNUMBER(Datos!N17),Datos!N17," - ")</f>
        <v>231</v>
      </c>
      <c r="G17" s="403">
        <f>IF(ISNUMBER(F17/B17),F17/B17," - ")</f>
        <v>231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991</v>
      </c>
      <c r="E18" s="849">
        <f t="shared" si="3"/>
        <v>330.33333333333331</v>
      </c>
      <c r="F18" s="848">
        <f>SUBTOTAL(9,F15:F17)</f>
        <v>2354</v>
      </c>
      <c r="G18" s="849">
        <f t="shared" si="4"/>
        <v>784.66666666666663</v>
      </c>
      <c r="H18" s="848">
        <f>SUBTOTAL(9,H15:H17)</f>
        <v>197</v>
      </c>
      <c r="I18" s="849">
        <f>IF(ISNUMBER(H18/B18),H18/B18," - ")</f>
        <v>65.666666666666671</v>
      </c>
      <c r="BZ18" s="1185"/>
    </row>
    <row r="19" spans="1:78" ht="14.25" thickTop="1" thickBot="1">
      <c r="A19" s="792" t="str">
        <f>Datos!A19</f>
        <v>TOTAL JURISDICCIONES</v>
      </c>
      <c r="B19" s="793">
        <f>Datos!AP19</f>
        <v>9</v>
      </c>
      <c r="C19" s="793">
        <f>Datos!AR19</f>
        <v>9</v>
      </c>
      <c r="D19" s="793">
        <f>SUBTOTAL(9,D8:D18)</f>
        <v>4008</v>
      </c>
      <c r="E19" s="794">
        <f>IF(ISNUMBER(D19/B19),D19/B19," - ")</f>
        <v>445.33333333333331</v>
      </c>
      <c r="F19" s="793">
        <f>SUBTOTAL(9,F8:F18)</f>
        <v>6146</v>
      </c>
      <c r="G19" s="794">
        <f>IF(ISNUMBER(F19/B19),F19/B19," - ")</f>
        <v>682.88888888888891</v>
      </c>
      <c r="H19" s="793">
        <f>SUBTOTAL(9,H8:H18)</f>
        <v>4404</v>
      </c>
      <c r="I19" s="794">
        <f>IF(ISNUMBER(H19/B19),H19/B19," - ")</f>
        <v>489.33333333333331</v>
      </c>
    </row>
    <row r="22" spans="1:78">
      <c r="A22" s="390" t="str">
        <f>Criterios!A4</f>
        <v>Fecha Informe: 18 mar. 2026</v>
      </c>
    </row>
    <row r="27" spans="1:78">
      <c r="A27" s="413"/>
    </row>
  </sheetData>
  <sheetProtection algorithmName="SHA-512" hashValue="WSZh0D5l2VVCb1JmrdEfu4p8NiA9V04E/HsaerJWEnW6xWNNd37UrYGatbCLOGOFHFpsx1r/SoJ5hBBtDP0M8g==" saltValue="OBDmmzc/hRiSiCD8I3Ls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FERROL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2420</v>
      </c>
      <c r="C9" s="433">
        <f>IF(ISNUMBER(Datos!Q9),Datos!Q9," - ")</f>
        <v>1570</v>
      </c>
      <c r="D9" s="407">
        <f>IF(ISNUMBER(Datos!R9),Datos!R9," - ")</f>
        <v>8396</v>
      </c>
    </row>
    <row r="10" spans="1:4">
      <c r="A10" s="401" t="str">
        <f>Datos!A10</f>
        <v>Jdos. Violencia contra la mujer/Secc Viol. TI.</v>
      </c>
      <c r="B10" s="432">
        <f>IF(ISNUMBER(Datos!P10),Datos!P10," - ")</f>
        <v>16</v>
      </c>
      <c r="C10" s="433">
        <f>IF(ISNUMBER(Datos!Q10),Datos!Q10," - ")</f>
        <v>16</v>
      </c>
      <c r="D10" s="407">
        <f>IF(ISNUMBER(Datos!R10),Datos!R10," - ")</f>
        <v>85</v>
      </c>
    </row>
    <row r="11" spans="1:4">
      <c r="A11" s="401" t="str">
        <f>Datos!A11</f>
        <v xml:space="preserve">Jdos. Familia                                   </v>
      </c>
      <c r="B11" s="432">
        <f>IF(ISNUMBER(Datos!P11),Datos!P11," - ")</f>
        <v>101</v>
      </c>
      <c r="C11" s="433">
        <f>IF(ISNUMBER(Datos!Q11),Datos!Q11," - ")</f>
        <v>126</v>
      </c>
      <c r="D11" s="407">
        <f>IF(ISNUMBER(Datos!R11),Datos!R11," - ")</f>
        <v>157</v>
      </c>
    </row>
    <row r="12" spans="1:4" ht="13.5" thickBot="1">
      <c r="A12" s="401" t="str">
        <f>Datos!A12</f>
        <v xml:space="preserve">Jdos. 1ª Instª. e Instr./Secc. Civil y de Inst. TI                      </v>
      </c>
      <c r="B12" s="432">
        <f>IF(ISNUMBER(Datos!P12),Datos!P12," - ")</f>
        <v>0</v>
      </c>
      <c r="C12" s="433">
        <f>IF(ISNUMBER(Datos!Q12),Datos!Q12," - ")</f>
        <v>4</v>
      </c>
      <c r="D12" s="407">
        <f>IF(ISNUMBER(Datos!R12),Datos!R12," - ")</f>
        <v>103</v>
      </c>
    </row>
    <row r="13" spans="1:4" ht="14.25" thickTop="1" thickBot="1">
      <c r="A13" s="847" t="str">
        <f>Datos!A13</f>
        <v>TOTAL</v>
      </c>
      <c r="B13" s="848">
        <f>SUBTOTAL(9,B9:B12)</f>
        <v>2537</v>
      </c>
      <c r="C13" s="852">
        <f>SUBTOTAL(9,C9:C12)</f>
        <v>1716</v>
      </c>
      <c r="D13" s="850">
        <f>SUBTOTAL(9,D9:D12)</f>
        <v>8741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260</v>
      </c>
      <c r="C15" s="433">
        <f>IF(ISNUMBER(Datos!Q15),Datos!Q15," - ")</f>
        <v>297</v>
      </c>
      <c r="D15" s="407">
        <f>IF(ISNUMBER(Datos!R15),Datos!R15," - ")</f>
        <v>283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1</v>
      </c>
      <c r="D17" s="407">
        <f>IF(ISNUMBER(Datos!R17),Datos!R17," - ")</f>
        <v>7</v>
      </c>
    </row>
    <row r="18" spans="1:4" ht="14.25" thickTop="1" thickBot="1">
      <c r="A18" s="847" t="str">
        <f>Datos!A18</f>
        <v>TOTAL</v>
      </c>
      <c r="B18" s="848">
        <f>SUBTOTAL(9,B15:B17)</f>
        <v>265</v>
      </c>
      <c r="C18" s="852">
        <f>SUBTOTAL(9,C15:C17)</f>
        <v>298</v>
      </c>
      <c r="D18" s="850">
        <f>SUBTOTAL(9,D15:D17)</f>
        <v>290</v>
      </c>
    </row>
    <row r="19" spans="1:4" ht="16.5" customHeight="1" thickTop="1" thickBot="1">
      <c r="A19" s="792" t="str">
        <f>Datos!A19</f>
        <v>TOTAL JURISDICCIONES</v>
      </c>
      <c r="B19" s="797">
        <f>SUBTOTAL(9,B8:B18)</f>
        <v>2802</v>
      </c>
      <c r="C19" s="798">
        <f>SUBTOTAL(9,C8:C18)</f>
        <v>2014</v>
      </c>
      <c r="D19" s="799">
        <f>SUBTOTAL(9,D8:D18)</f>
        <v>9031</v>
      </c>
    </row>
    <row r="20" spans="1:4" ht="7.5" customHeight="1"/>
    <row r="21" spans="1:4" ht="6" customHeight="1"/>
    <row r="22" spans="1:4">
      <c r="A22" s="390" t="str">
        <f>Criterios!A4</f>
        <v>Fecha Informe: 18 mar. 2026</v>
      </c>
    </row>
    <row r="27" spans="1:4">
      <c r="A27" s="413"/>
    </row>
  </sheetData>
  <sheetProtection algorithmName="SHA-512" hashValue="seFLZdgKPKxabSecMO00mcKDWxjWWWZi6hYoIaR8jN3DiFUG8gOf30EGuZfEm0i5J92IOY4NkfAxDMdIPR+VuQ==" saltValue="C1GAuEPSZ5GV/m686uu0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FERROL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9.9944320712694878E-2</v>
      </c>
      <c r="C9" s="455">
        <f>IF(ISNUMBER(
   IF(J_V="SI",(Datos!J9-Datos!T9)/Datos!T9,(Datos!J9+Datos!Z9-(Datos!T9+Datos!AH9))/(Datos!T9+Datos!AH9))
     ),IF(J_V="SI",(Datos!J9-Datos!T9)/Datos!T9,(Datos!J9+Datos!Z9-(Datos!T9+Datos!AH9))/(Datos!T9+Datos!AH9))," - ")</f>
        <v>-8.1153889325401282E-2</v>
      </c>
      <c r="D9" s="455">
        <f>IF(ISNUMBER(
   IF(J_V="SI",(Datos!K9-Datos!U9)/Datos!U9,(Datos!K9+Datos!AA9-(Datos!U9+Datos!AI9))/(Datos!U9+Datos!AI9))
     ),IF(J_V="SI",(Datos!K9-Datos!U9)/Datos!U9,(Datos!K9+Datos!AA9-(Datos!U9+Datos!AI9))/(Datos!U9+Datos!AI9))," - ")</f>
        <v>4.5380116959064326E-2</v>
      </c>
      <c r="E9" s="455">
        <f>IF(ISNUMBER(
   IF(J_V="SI",(Datos!L9-Datos!V9)/Datos!V9,(Datos!L9+Datos!AB9-(Datos!V9+Datos!AJ9))/(Datos!V9+Datos!AJ9))
     ),IF(J_V="SI",(Datos!L9-Datos!V9)/Datos!V9,(Datos!L9+Datos!AB9-(Datos!V9+Datos!AJ9))/(Datos!V9+Datos!AJ9))," - ")</f>
        <v>-0.14350797266514806</v>
      </c>
      <c r="F9" s="455">
        <f>IF(ISNUMBER((Datos!M9-Datos!W9)/Datos!W9),(Datos!M9-Datos!W9)/Datos!W9," - ")</f>
        <v>-2.0446800454373342E-2</v>
      </c>
      <c r="G9" s="456">
        <f>IF(ISNUMBER((Datos!N9-Datos!X9)/Datos!X9),(Datos!N9-Datos!X9)/Datos!X9," - ")</f>
        <v>7.9769178547182615E-2</v>
      </c>
      <c r="H9" s="454">
        <f>IF(ISNUMBER(((NºAsuntos!G9/NºAsuntos!E9)-Datos!BD9)/Datos!BD9),((NºAsuntos!G9/NºAsuntos!E9)-Datos!BD9)/Datos!BD9," - ")</f>
        <v>0.13770968262744981</v>
      </c>
      <c r="I9" s="455">
        <f>IF(ISNUMBER(((NºAsuntos!I9/NºAsuntos!G9)-Datos!BE9)/Datos!BE9),((NºAsuntos!I9/NºAsuntos!G9)-Datos!BE9)/Datos!BE9," - ")</f>
        <v>-0.18068842764455312</v>
      </c>
      <c r="J9" s="460">
        <f>IF(ISNUMBER((('Resol  Asuntos'!D9/NºAsuntos!G9)-Datos!BF9)/Datos!BF9),(('Resol  Asuntos'!D9/NºAsuntos!G9)-Datos!BF9)/Datos!BF9," - ")</f>
        <v>-0.15998033978359191</v>
      </c>
      <c r="K9" s="461">
        <f>IF(ISNUMBER((((NºAsuntos!C9+NºAsuntos!E9)/NºAsuntos!G9)-Datos!BG9)/Datos!BG9),(((NºAsuntos!C9+NºAsuntos!E9)/NºAsuntos!G9)-Datos!BG9)/Datos!BG9," - ")</f>
        <v>-7.1263826752441153E-2</v>
      </c>
    </row>
    <row r="10" spans="1:11" ht="21">
      <c r="A10" s="401" t="str">
        <f>Datos!A10</f>
        <v>Jdos. Violencia contra la mujer/Secc Viol. TI.</v>
      </c>
      <c r="B10" s="454">
        <f>IF(ISNUMBER((Datos!I10-Datos!S10)/Datos!S10),(Datos!I10-Datos!S10)/Datos!S10," - ")</f>
        <v>8.7301587301587297E-2</v>
      </c>
      <c r="C10" s="455">
        <f>IF(ISNUMBER((Datos!J10-Datos!T10)/Datos!T10),(Datos!J10-Datos!T10)/Datos!T10," - ")</f>
        <v>0</v>
      </c>
      <c r="D10" s="455">
        <f>IF(ISNUMBER((Datos!K10-Datos!U10)/Datos!U10),(Datos!K10-Datos!U10)/Datos!U10," - ")</f>
        <v>-0.27659574468085107</v>
      </c>
      <c r="E10" s="455">
        <f>IF(ISNUMBER((Datos!L10-Datos!V10)/Datos!V10),(Datos!L10-Datos!V10)/Datos!V10," - ")</f>
        <v>0.17518248175182483</v>
      </c>
      <c r="F10" s="455">
        <f>IF(ISNUMBER((Datos!M10-Datos!W10)/Datos!W10),(Datos!M10-Datos!W10)/Datos!W10," - ")</f>
        <v>-0.1</v>
      </c>
      <c r="G10" s="456">
        <f>IF(ISNUMBER((Datos!N10-Datos!X10)/Datos!X10),(Datos!N10-Datos!X10)/Datos!X10," - ")</f>
        <v>-0.5</v>
      </c>
      <c r="H10" s="454">
        <f>IF(ISNUMBER(((NºAsuntos!G10/NºAsuntos!E10)-Datos!BD10)/Datos!BD10),((NºAsuntos!G10/NºAsuntos!E10)-Datos!BD10)/Datos!BD10," - ")</f>
        <v>-0.27659574468085107</v>
      </c>
      <c r="I10" s="455">
        <f>IF(ISNUMBER(((NºAsuntos!I10/NºAsuntos!G10)-Datos!BE10)/Datos!BE10),((NºAsuntos!I10/NºAsuntos!G10)-Datos!BE10)/Datos!BE10," - ")</f>
        <v>0.62451696006869906</v>
      </c>
      <c r="J10" s="460">
        <f>IF(ISNUMBER((('Resol  Asuntos'!D10/NºAsuntos!G10)-Datos!BF10)/Datos!BF10),(('Resol  Asuntos'!D10/NºAsuntos!G10)-Datos!BF10)/Datos!BF10," - ")</f>
        <v>0.24411764705882352</v>
      </c>
      <c r="K10" s="461">
        <f>IF(ISNUMBER((((NºAsuntos!C10+NºAsuntos!E10)/NºAsuntos!G10)-Datos!BG10)/Datos!BG10),(((NºAsuntos!C10+NºAsuntos!E10)/NºAsuntos!G10)-Datos!BG10)/Datos!BG10," - ")</f>
        <v>0.46499360613810747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-1.8315018315018316E-2</v>
      </c>
      <c r="C11" s="455">
        <f>IF(ISNUMBER(
   IF(J_V="SI",(Datos!J11-Datos!T11)/Datos!T11,(Datos!J11+Datos!Z11-(Datos!T11+Datos!AH11))/(Datos!T11+Datos!AH11))
     ),IF(J_V="SI",(Datos!J11-Datos!T11)/Datos!T11,(Datos!J11+Datos!Z11-(Datos!T11+Datos!AH11))/(Datos!T11+Datos!AH11))," - ")</f>
        <v>-0.12132582864290181</v>
      </c>
      <c r="D11" s="455">
        <f>IF(ISNUMBER(
   IF(J_V="SI",(Datos!K11-Datos!U11)/Datos!U11,(Datos!K11+Datos!AA11-(Datos!U11+Datos!AI11))/(Datos!U11+Datos!AI11))
     ),IF(J_V="SI",(Datos!K11-Datos!U11)/Datos!U11,(Datos!K11+Datos!AA11-(Datos!U11+Datos!AI11))/(Datos!U11+Datos!AI11))," - ")</f>
        <v>-5.3449347420758235E-2</v>
      </c>
      <c r="E11" s="455">
        <f>IF(ISNUMBER(
   IF(J_V="SI",(Datos!L11-Datos!V11)/Datos!V11,(Datos!L11+Datos!AB11-(Datos!V11+Datos!AJ11))/(Datos!V11+Datos!AJ11))
     ),IF(J_V="SI",(Datos!L11-Datos!V11)/Datos!V11,(Datos!L11+Datos!AB11-(Datos!V11+Datos!AJ11))/(Datos!V11+Datos!AJ11))," - ")</f>
        <v>0</v>
      </c>
      <c r="F11" s="455">
        <f>IF(ISNUMBER((Datos!M11-Datos!W11)/Datos!W11),(Datos!M11-Datos!W11)/Datos!W11," - ")</f>
        <v>4.5685279187817257E-2</v>
      </c>
      <c r="G11" s="456">
        <f>IF(ISNUMBER((Datos!N11-Datos!X11)/Datos!X11),(Datos!N11-Datos!X11)/Datos!X11," - ")</f>
        <v>-9.6870342771982115E-2</v>
      </c>
      <c r="H11" s="454">
        <f>IF(ISNUMBER(((NºAsuntos!G11/NºAsuntos!E11)-Datos!BD11)/Datos!BD11),((NºAsuntos!G11/NºAsuntos!E11)-Datos!BD11)/Datos!BD11," - ")</f>
        <v>7.724874980370644E-2</v>
      </c>
      <c r="I11" s="455">
        <f>IF(ISNUMBER(((NºAsuntos!I11/NºAsuntos!G11)-Datos!BE11)/Datos!BE11),((NºAsuntos!I11/NºAsuntos!G11)-Datos!BE11)/Datos!BE11," - ")</f>
        <v>5.646749835850292E-2</v>
      </c>
      <c r="J11" s="460">
        <f>IF(ISNUMBER((('Resol  Asuntos'!D11/NºAsuntos!G11)-Datos!BF11)/Datos!BF11),(('Resol  Asuntos'!D11/NºAsuntos!G11)-Datos!BF11)/Datos!BF11," - ")</f>
        <v>-0.35131950920461519</v>
      </c>
      <c r="K11" s="461">
        <f>IF(ISNUMBER((((NºAsuntos!C11+NºAsuntos!E11)/NºAsuntos!G11)-Datos!BG11)/Datos!BG11),(((NºAsuntos!C11+NºAsuntos!E11)/NºAsuntos!G11)-Datos!BG11)/Datos!BG11," - ")</f>
        <v>-4.4007732254613449E-2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-0.30882352941176472</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8.3102493074792241E-2</v>
      </c>
      <c r="C13" s="854">
        <f>IF(ISNUMBER(
   IF(J_V="SI",(Datos!J13-Datos!T13)/Datos!T13,(Datos!J13+Datos!Z13-(Datos!T13+Datos!AH13))/(Datos!T13+Datos!AH13))
     ),IF(J_V="SI",(Datos!J13-Datos!T13)/Datos!T13,(Datos!J13+Datos!Z13-(Datos!T13+Datos!AH13))/(Datos!T13+Datos!AH13))," - ")</f>
        <v>-8.6787809956464124E-2</v>
      </c>
      <c r="D13" s="854">
        <f>IF(ISNUMBER(
   IF(J_V="SI",(Datos!K13-Datos!U13)/Datos!U13,(Datos!K13+Datos!AA13-(Datos!U13+Datos!AI13))/(Datos!U13+Datos!AI13))
     ),IF(J_V="SI",(Datos!K13-Datos!U13)/Datos!U13,(Datos!K13+Datos!AA13-(Datos!U13+Datos!AI13))/(Datos!U13+Datos!AI13))," - ")</f>
        <v>3.0374289633548893E-2</v>
      </c>
      <c r="E13" s="854">
        <f>IF(ISNUMBER(
   IF(J_V="SI",(Datos!L13-Datos!V13)/Datos!V13,(Datos!L13+Datos!AB13-(Datos!V13+Datos!AJ13))/(Datos!V13+Datos!AJ13))
     ),IF(J_V="SI",(Datos!L13-Datos!V13)/Datos!V13,(Datos!L13+Datos!AB13-(Datos!V13+Datos!AJ13))/(Datos!V13+Datos!AJ13))," - ")</f>
        <v>-0.12020460358056266</v>
      </c>
      <c r="F13" s="855">
        <f>IF(ISNUMBER((Datos!M13-Datos!W13)/Datos!W13),(Datos!M13-Datos!W13)/Datos!W13," - ")</f>
        <v>-1.2438625204582651E-2</v>
      </c>
      <c r="G13" s="856">
        <f>IF(ISNUMBER((Datos!N13-Datos!X13)/Datos!X13),(Datos!N13-Datos!X13)/Datos!X13," - ")</f>
        <v>4.5492142266335814E-2</v>
      </c>
      <c r="H13" s="856">
        <f>IF(ISNUMBER(((NºAsuntos!G13/NºAsuntos!E13)-Datos!BD13)/Datos!BD13),((NºAsuntos!G13/NºAsuntos!E13)-Datos!BD13)/Datos!BD13," - ")</f>
        <v>0.12829668818199588</v>
      </c>
      <c r="I13" s="856">
        <f>IF(ISNUMBER(((NºAsuntos!I13/NºAsuntos!G13)-Datos!BE13)/Datos!BE13),((NºAsuntos!I13/NºAsuntos!G13)-Datos!BE13)/Datos!BE13," - ")</f>
        <v>-0.1461399946884008</v>
      </c>
      <c r="J13" s="856">
        <f>IF(ISNUMBER((('Resol  Asuntos'!D13/NºAsuntos!G13)-Datos!BF13)/Datos!BF13),(('Resol  Asuntos'!D13/NºAsuntos!G13)-Datos!BF13)/Datos!BF13," - ")</f>
        <v>-0.19492378582701997</v>
      </c>
      <c r="K13" s="856">
        <f>IF(ISNUMBER((((NºAsuntos!C13+NºAsuntos!E13)/NºAsuntos!G13)-Datos!BG13)/Datos!BG13),(((NºAsuntos!C13+NºAsuntos!E13)/NºAsuntos!G13)-Datos!BG13)/Datos!BG13," - ")</f>
        <v>-6.5764314110389632E-2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0.27071583514099784</v>
      </c>
      <c r="C15" s="455">
        <f>IF(ISNUMBER(
   IF(D_I="SI",(Datos!J15-Datos!T15)/Datos!T15,(Datos!J15+Datos!AD15-(Datos!T15+Datos!AL15))/(Datos!T15+Datos!AL15))
     ),IF(D_I="SI",(Datos!J15-Datos!T15)/Datos!T15,(Datos!J15+Datos!AD15-(Datos!T15+Datos!AL15))/(Datos!T15+Datos!AL15))," - ")</f>
        <v>8.5552160628546481E-2</v>
      </c>
      <c r="D15" s="455">
        <f>IF(ISNUMBER(
   IF(D_I="SI",(Datos!K15-Datos!U15)/Datos!U15,(Datos!K15+Datos!AE15-(Datos!U15+Datos!AM15))/(Datos!U15+Datos!AM15))
     ),IF(D_I="SI",(Datos!K15-Datos!U15)/Datos!U15,(Datos!K15+Datos!AE15-(Datos!U15+Datos!AM15))/(Datos!U15+Datos!AM15))," - ")</f>
        <v>0.15142648134601316</v>
      </c>
      <c r="E15" s="455">
        <f>IF(ISNUMBER(
   IF(D_I="SI",(Datos!L15-Datos!V15)/Datos!V15,(Datos!L15+Datos!AF15-(Datos!V15+Datos!AN15))/(Datos!V15+Datos!AN15))
     ),IF(D_I="SI",(Datos!L15-Datos!V15)/Datos!V15,(Datos!L15+Datos!AF15-(Datos!V15+Datos!AN15))/(Datos!V15+Datos!AN15))," - ")</f>
        <v>-0.19665414817343804</v>
      </c>
      <c r="F15" s="455">
        <f>IF(ISNUMBER((Datos!M15-Datos!W15)/Datos!W15),(Datos!M15-Datos!W15)/Datos!W15," - ")</f>
        <v>9.768009768009768E-2</v>
      </c>
      <c r="G15" s="456">
        <f>IF(ISNUMBER((Datos!N15-Datos!X15)/Datos!X15),(Datos!N15-Datos!X15)/Datos!X15," - ")</f>
        <v>4.0686274509803923E-2</v>
      </c>
      <c r="H15" s="454">
        <f>IF(ISNUMBER(((NºAsuntos!G15/NºAsuntos!E15)-Datos!BD15)/Datos!BD15),((NºAsuntos!G15/NºAsuntos!E15)-Datos!BD15)/Datos!BD15," - ")</f>
        <v>6.0682777950830706E-2</v>
      </c>
      <c r="I15" s="455">
        <f>IF(ISNUMBER(((NºAsuntos!I15/NºAsuntos!G15)-Datos!BE15)/Datos!BE15),((NºAsuntos!I15/NºAsuntos!G15)-Datos!BE15)/Datos!BE15," - ")</f>
        <v>-0.30230382500196296</v>
      </c>
      <c r="J15" s="460">
        <f>IF(ISNUMBER((('Resol  Asuntos'!D15/NºAsuntos!G15)-Datos!BF15)/Datos!BF15),(('Resol  Asuntos'!D15/NºAsuntos!G15)-Datos!BF15)/Datos!BF15," - ")</f>
        <v>-4.6678085432850465E-2</v>
      </c>
      <c r="K15" s="461">
        <f>IF(ISNUMBER((((NºAsuntos!C15+NºAsuntos!E15)/NºAsuntos!G15)-Datos!BG15)/Datos!BG15),(((NºAsuntos!C15+NºAsuntos!E15)/NºAsuntos!G15)-Datos!BG15)/Datos!BG15," - ")</f>
        <v>-3.3889789963928167E-3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0.1276595744680851</v>
      </c>
      <c r="C17" s="455">
        <f>IF(ISNUMBER(
   IF(D_I="SI",(Datos!J17-Datos!T17)/Datos!T17,(Datos!J17+Datos!AD17-(Datos!T17+Datos!AL17))/(Datos!T17+Datos!AL17))
     ),IF(D_I="SI",(Datos!J17-Datos!T17)/Datos!T17,(Datos!J17+Datos!AD17-(Datos!T17+Datos!AL17))/(Datos!T17+Datos!AL17))," - ")</f>
        <v>0.96562499999999996</v>
      </c>
      <c r="D17" s="455">
        <f>IF(ISNUMBER(
   IF(D_I="SI",(Datos!K17-Datos!U17)/Datos!U17,(Datos!K17+Datos!AE17-(Datos!U17+Datos!AM17))/(Datos!U17+Datos!AM17))
     ),IF(D_I="SI",(Datos!K17-Datos!U17)/Datos!U17,(Datos!K17+Datos!AE17-(Datos!U17+Datos!AM17))/(Datos!U17+Datos!AM17))," - ")</f>
        <v>0.92567567567567566</v>
      </c>
      <c r="E17" s="455">
        <f>IF(ISNUMBER(
   IF(D_I="SI",(Datos!L17-Datos!V17)/Datos!V17,(Datos!L17+Datos!AF17-(Datos!V17+Datos!AN17))/(Datos!V17+Datos!AN17))
     ),IF(D_I="SI",(Datos!L17-Datos!V17)/Datos!V17,(Datos!L17+Datos!AF17-(Datos!V17+Datos!AN17))/(Datos!V17+Datos!AN17))," - ")</f>
        <v>0.18396226415094338</v>
      </c>
      <c r="F17" s="455">
        <f>IF(ISNUMBER((Datos!M17-Datos!W17)/Datos!W17),(Datos!M17-Datos!W17)/Datos!W17," - ")</f>
        <v>-1.0752688172043012E-2</v>
      </c>
      <c r="G17" s="456">
        <f>IF(ISNUMBER((Datos!N17-Datos!X17)/Datos!X17),(Datos!N17-Datos!X17)/Datos!X17," - ")</f>
        <v>0.35882352941176471</v>
      </c>
      <c r="H17" s="454">
        <f>IF(ISNUMBER(((NºAsuntos!G17/NºAsuntos!E17)-Datos!BD17)/Datos!BD17),((NºAsuntos!G17/NºAsuntos!E17)-Datos!BD17)/Datos!BD17," - ")</f>
        <v>-2.0323980578352618E-2</v>
      </c>
      <c r="I17" s="455">
        <f>IF(ISNUMBER(((NºAsuntos!I17/NºAsuntos!G17)-Datos!BE17)/Datos!BE17),((NºAsuntos!I17/NºAsuntos!G17)-Datos!BE17)/Datos!BE17," - ")</f>
        <v>-0.38517047335319432</v>
      </c>
      <c r="J17" s="460">
        <f>IF(ISNUMBER((('Resol  Asuntos'!D17/NºAsuntos!G17)-Datos!BF17)/Datos!BF17),(('Resol  Asuntos'!D17/NºAsuntos!G17)-Datos!BF17)/Datos!BF17," - ")</f>
        <v>-0.48628560648934166</v>
      </c>
      <c r="K17" s="461">
        <f>IF(ISNUMBER((((NºAsuntos!C17+NºAsuntos!E17)/NºAsuntos!G17)-Datos!BG17)/Datos!BG17),(((NºAsuntos!C17+NºAsuntos!E17)/NºAsuntos!G17)-Datos!BG17)/Datos!BG17," - ")</f>
        <v>-0.14029562094211911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0.25992779783393499</v>
      </c>
      <c r="C18" s="854">
        <f>IF(ISNUMBER(
   IF(Criterios!B14="SI",(Datos!J18-Datos!T18)/Datos!T18,(Datos!J18+Datos!AD18-(Datos!T18+Datos!AL18))/(Datos!T18+Datos!AL18))
     ),IF(Criterios!B14="SI",(Datos!J18-Datos!T18)/Datos!T18,(Datos!J18+Datos!AD18-(Datos!T18+Datos!AL18))/(Datos!T18+Datos!AL18))," - ")</f>
        <v>0.14300285597715218</v>
      </c>
      <c r="D18" s="854">
        <f>IF(ISNUMBER(
   IF(Criterios!B14="SI",(Datos!K18-Datos!U18)/Datos!U18,(Datos!K18+Datos!AE18-(Datos!U18+Datos!AM18))/(Datos!U18+Datos!AM18))
     ),IF(Criterios!B14="SI",(Datos!K18-Datos!U18)/Datos!U18,(Datos!K18+Datos!AE18-(Datos!U18+Datos!AM18))/(Datos!U18+Datos!AM18))," - ")</f>
        <v>0.20354787355014783</v>
      </c>
      <c r="E18" s="854">
        <f>IF(ISNUMBER(
   IF(Criterios!B14="SI",(Datos!L18-Datos!V18)/Datos!V18,(Datos!L18+Datos!AF18-(Datos!V18+Datos!AN18))/(Datos!V18+Datos!AN18))
     ),IF(Criterios!B14="SI",(Datos!L18-Datos!V18)/Datos!V18,(Datos!L18+Datos!AF18-(Datos!V18+Datos!AN18))/(Datos!V18+Datos!AN18))," - ")</f>
        <v>-0.17096466093600765</v>
      </c>
      <c r="F18" s="855">
        <f>IF(ISNUMBER((Datos!M18-Datos!W18)/Datos!W18),(Datos!M18-Datos!W18)/Datos!W18," - ")</f>
        <v>8.6622807017543865E-2</v>
      </c>
      <c r="G18" s="856">
        <f>IF(ISNUMBER((Datos!N18-Datos!X18)/Datos!X18),(Datos!N18-Datos!X18)/Datos!X18," - ")</f>
        <v>6.5158371040723986E-2</v>
      </c>
      <c r="H18" s="856">
        <f>IF(ISNUMBER(((NºAsuntos!G18/NºAsuntos!E18)-Datos!BD18)/Datos!BD18),((NºAsuntos!G18/NºAsuntos!E18)-Datos!BD18)/Datos!BD18," - ")</f>
        <v>5.2970136737966245E-2</v>
      </c>
      <c r="I18" s="856">
        <f>IF(ISNUMBER(((NºAsuntos!I18/NºAsuntos!G18)-Datos!BE18)/Datos!BE18),((NºAsuntos!I18/NºAsuntos!G18)-Datos!BE18)/Datos!BE18," - ")</f>
        <v>-0.31117377440204563</v>
      </c>
      <c r="J18" s="856">
        <f>IF(ISNUMBER((('Resol  Asuntos'!D18/NºAsuntos!G18)-Datos!BF18)/Datos!BF18),(('Resol  Asuntos'!D18/NºAsuntos!G18)-Datos!BF18)/Datos!BF18," - ")</f>
        <v>-9.7150324554773099E-2</v>
      </c>
      <c r="K18" s="856">
        <f>IF(ISNUMBER((((NºAsuntos!C18+NºAsuntos!E18)/NºAsuntos!G18)-Datos!BG18)/Datos!BG18),(((NºAsuntos!C18+NºAsuntos!E18)/NºAsuntos!G18)-Datos!BG18)/Datos!BG18," - ")</f>
        <v>-1.7554199202030687E-2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0.14769230769230771</v>
      </c>
      <c r="C19" s="801">
        <f>IF(ISNUMBER(
   IF(J_V="SI",(Datos!J19-Datos!T19)/Datos!T19,(Datos!J19+Datos!Z19-(Datos!T19+Datos!AH19))/(Datos!T19+Datos!AH19))
     ),IF(J_V="SI",(Datos!J19-Datos!T19)/Datos!T19,(Datos!J19+Datos!Z19-(Datos!T19+Datos!AH19))/(Datos!T19+Datos!AH19))," - ")</f>
        <v>-1.3964313421256789E-2</v>
      </c>
      <c r="D19" s="801">
        <f>IF(ISNUMBER(
   IF(J_V="SI",(Datos!K19-Datos!U19)/Datos!U19,(Datos!K19+Datos!AA19-(Datos!U19+Datos!AI19))/(Datos!U19+Datos!AI19))
     ),IF(J_V="SI",(Datos!K19-Datos!U19)/Datos!U19,(Datos!K19+Datos!AA19-(Datos!U19+Datos!AI19))/(Datos!U19+Datos!AI19))," - ")</f>
        <v>8.2517290967609389E-2</v>
      </c>
      <c r="E19" s="801">
        <f>IF(ISNUMBER(
   IF(J_V="SI",(Datos!L19-Datos!V19)/Datos!V19,(Datos!L19+Datos!AB19-(Datos!V19+Datos!AJ19))/(Datos!V19+Datos!AJ19))
     ),IF(J_V="SI",(Datos!L19-Datos!V19)/Datos!V19,(Datos!L19+Datos!AB19-(Datos!V19+Datos!AJ19))/(Datos!V19+Datos!AJ19))," - ")</f>
        <v>-0.14055917273075449</v>
      </c>
      <c r="F19" s="802">
        <f>IF(ISNUMBER((Datos!M19-Datos!W19)/Datos!W19),(Datos!M19-Datos!W19)/Datos!W19," - ")</f>
        <v>1.0335265944038316E-2</v>
      </c>
      <c r="G19" s="803">
        <f>IF(ISNUMBER((Datos!N19-Datos!X19)/Datos!X19),(Datos!N19-Datos!X19)/Datos!X19," - ")</f>
        <v>5.2938153160870312E-2</v>
      </c>
      <c r="H19" s="804">
        <f>IF(ISNUMBER((Tasas!B19-Datos!BD19)/Datos!BD19),(Tasas!B19-Datos!BD19)/Datos!BD19," - ")</f>
        <v>9.7847984309400823E-2</v>
      </c>
      <c r="I19" s="805">
        <f>IF(ISNUMBER((Tasas!C19-Datos!BE19)/Datos!BE19),(Tasas!C19-Datos!BE19)/Datos!BE19," - ")</f>
        <v>-0.20607196352398838</v>
      </c>
      <c r="J19" s="806">
        <f>IF(ISNUMBER((Tasas!D19-Datos!BF19)/Datos!BF19),(Tasas!D19-Datos!BF19)/Datos!BF19," - ")</f>
        <v>-0.18608897003656977</v>
      </c>
      <c r="K19" s="806">
        <f>IF(ISNUMBER((Tasas!E19-Datos!BG19)/Datos!BG19),(Tasas!E19-Datos!BG19)/Datos!BG19," - ")</f>
        <v>-4.3408492748672346E-2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qOalzRxntiqG7fi665ndP+LOoFPbX8jFzz5zlk7jnjBQ0LRyv0Awd+R+jc4cRWxf9d/RbwM5HGxpRqPnvZ8w==" saltValue="69VS280GdGlgLeDtf7rN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FERROL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1.0918641583190813</v>
      </c>
      <c r="C9" s="442">
        <f>IF(ISNUMBER(NºAsuntos!I9/NºAsuntos!G9),NºAsuntos!I9/NºAsuntos!G9," - ")</f>
        <v>0.3786081897516223</v>
      </c>
      <c r="D9" s="443">
        <f>IF(ISNUMBER('Resol  Asuntos'!D9/NºAsuntos!G9),'Resol  Asuntos'!D9/NºAsuntos!G9," - ")</f>
        <v>0.2894383530991273</v>
      </c>
      <c r="E9" s="444">
        <f>IF(ISNUMBER((NºAsuntos!C9+NºAsuntos!E9)/NºAsuntos!G9),(NºAsuntos!C9+NºAsuntos!E9)/NºAsuntos!G9," - ")</f>
        <v>1.3579100469903782</v>
      </c>
      <c r="G9" s="462"/>
    </row>
    <row r="10" spans="1:7" ht="21">
      <c r="A10" s="401" t="str">
        <f>Datos!A10</f>
        <v>Jdos. Violencia contra la mujer/Secc Viol. TI.</v>
      </c>
      <c r="B10" s="441">
        <f>IF(ISNUMBER(NºAsuntos!G10/NºAsuntos!E10),NºAsuntos!G10/NºAsuntos!E10," - ")</f>
        <v>0.58620689655172409</v>
      </c>
      <c r="C10" s="442">
        <f>IF(ISNUMBER(NºAsuntos!I10/NºAsuntos!G10),NºAsuntos!I10/NºAsuntos!G10," - ")</f>
        <v>4.7352941176470589</v>
      </c>
      <c r="D10" s="443">
        <f>IF(ISNUMBER('Resol  Asuntos'!D10/NºAsuntos!G10),'Resol  Asuntos'!D10/NºAsuntos!G10," - ")</f>
        <v>0.52941176470588236</v>
      </c>
      <c r="E10" s="444">
        <f>IF(ISNUMBER((NºAsuntos!C10+NºAsuntos!E10)/NºAsuntos!G10),(NºAsuntos!C10+NºAsuntos!E10)/NºAsuntos!G10," - ")</f>
        <v>5.7352941176470589</v>
      </c>
      <c r="G10" s="462"/>
    </row>
    <row r="11" spans="1:7">
      <c r="A11" s="401" t="str">
        <f>Datos!A11</f>
        <v xml:space="preserve">Jdos. Familia                                   </v>
      </c>
      <c r="B11" s="441">
        <f>IF(ISNUMBER(NºAsuntos!G11/NºAsuntos!E11),NºAsuntos!G11/NºAsuntos!E11," - ")</f>
        <v>1.0839857651245552</v>
      </c>
      <c r="C11" s="442">
        <f>IF(ISNUMBER(NºAsuntos!I11/NºAsuntos!G11),NºAsuntos!I11/NºAsuntos!G11," - ")</f>
        <v>0.35193696651346029</v>
      </c>
      <c r="D11" s="443">
        <f>IF(ISNUMBER('Resol  Asuntos'!D11/NºAsuntos!G11),'Resol  Asuntos'!D11/NºAsuntos!G11," - ")</f>
        <v>0.27051871306631647</v>
      </c>
      <c r="E11" s="444">
        <f>IF(ISNUMBER((NºAsuntos!C11+NºAsuntos!E11)/NºAsuntos!G11),(NºAsuntos!C11+NºAsuntos!E11)/NºAsuntos!G11," - ")</f>
        <v>1.2744583059750492</v>
      </c>
      <c r="G11" s="462"/>
    </row>
    <row r="12" spans="1:7" ht="21.75" thickBot="1">
      <c r="A12" s="401" t="str">
        <f>Datos!A12</f>
        <v xml:space="preserve">Jdos. 1ª Instª. e Instr./Secc. Civil y de Inst. TI                      </v>
      </c>
      <c r="B12" s="441" t="str">
        <f>IF(ISNUMBER(NºAsuntos!G12/NºAsuntos!E12),NºAsuntos!G12/NºAsuntos!E12," - ")</f>
        <v xml:space="preserve"> - </v>
      </c>
      <c r="C12" s="442">
        <f>IF(ISNUMBER(NºAsuntos!I12/NºAsuntos!G12),NºAsuntos!I12/NºAsuntos!G12," - ")</f>
        <v>2.2380952380952381</v>
      </c>
      <c r="D12" s="443">
        <f>IF(ISNUMBER('Resol  Asuntos'!D12/NºAsuntos!G12),'Resol  Asuntos'!D12/NºAsuntos!G12," - ")</f>
        <v>0</v>
      </c>
      <c r="E12" s="444">
        <f>IF(ISNUMBER((NºAsuntos!C12+NºAsuntos!E12)/NºAsuntos!G12),(NºAsuntos!C12+NºAsuntos!E12)/NºAsuntos!G12," - ")</f>
        <v>3.2380952380952381</v>
      </c>
      <c r="G12" s="462"/>
    </row>
    <row r="13" spans="1:7" ht="14.25" thickTop="1" thickBot="1">
      <c r="A13" s="847" t="str">
        <f>Datos!A13</f>
        <v>TOTAL</v>
      </c>
      <c r="B13" s="857">
        <f>IF(ISNUMBER(NºAsuntos!G13/NºAsuntos!E13),NºAsuntos!G13/NºAsuntos!E13," - ")</f>
        <v>1.0898538708674474</v>
      </c>
      <c r="C13" s="858">
        <f>IF(ISNUMBER(NºAsuntos!I13/NºAsuntos!G13),NºAsuntos!I13/NºAsuntos!G13," - ")</f>
        <v>0.3925446937999239</v>
      </c>
      <c r="D13" s="859">
        <f>IF(ISNUMBER('Resol  Asuntos'!D13/NºAsuntos!G13),'Resol  Asuntos'!D13/NºAsuntos!G13," - ")</f>
        <v>0.28689615823507036</v>
      </c>
      <c r="E13" s="860">
        <f>IF(ISNUMBER((NºAsuntos!C13+NºAsuntos!E13)/NºAsuntos!G13),(NºAsuntos!C13+NºAsuntos!E13)/NºAsuntos!G13," - ")</f>
        <v>1.363731456827691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0.94933655006031359</v>
      </c>
      <c r="C15" s="442">
        <f>IF(ISNUMBER(NºAsuntos!I15/NºAsuntos!G15),NºAsuntos!I15/NºAsuntos!G15," - ")</f>
        <v>0.49830580262600593</v>
      </c>
      <c r="D15" s="443">
        <f>IF(ISNUMBER('Resol  Asuntos'!D15/NºAsuntos!G15),'Resol  Asuntos'!D15/NºAsuntos!G15," - ")</f>
        <v>0.19038542990258364</v>
      </c>
      <c r="E15" s="444">
        <f>IF(ISNUMBER((NºAsuntos!C15+NºAsuntos!E15)/NºAsuntos!G15),(NºAsuntos!C15+NºAsuntos!E15)/NºAsuntos!G15," - ")</f>
        <v>1.6736552308343922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0.90620031796502387</v>
      </c>
      <c r="C17" s="442">
        <f>IF(ISNUMBER(NºAsuntos!I17/NºAsuntos!G17),NºAsuntos!I17/NºAsuntos!G17," - ")</f>
        <v>0.44035087719298244</v>
      </c>
      <c r="D17" s="443">
        <f>IF(ISNUMBER('Resol  Asuntos'!D17/NºAsuntos!G17),'Resol  Asuntos'!D17/NºAsuntos!G17," - ")</f>
        <v>0.16140350877192983</v>
      </c>
      <c r="E17" s="444">
        <f>IF(ISNUMBER((NºAsuntos!C17+NºAsuntos!E17)/NºAsuntos!G17),(NºAsuntos!C17+NºAsuntos!E17)/NºAsuntos!G17," - ")</f>
        <v>1.475438596491228</v>
      </c>
      <c r="G17" s="462"/>
    </row>
    <row r="18" spans="1:7" ht="14.25" thickTop="1" thickBot="1">
      <c r="A18" s="847" t="str">
        <f>Datos!A18</f>
        <v>TOTAL</v>
      </c>
      <c r="B18" s="857">
        <f>IF(ISNUMBER(NºAsuntos!G18/NºAsuntos!E18),NºAsuntos!G18/NºAsuntos!E18," - ")</f>
        <v>0.94449402106014635</v>
      </c>
      <c r="C18" s="858">
        <f>IF(ISNUMBER(NºAsuntos!I18/NºAsuntos!G18),NºAsuntos!I18/NºAsuntos!G18," - ")</f>
        <v>0.49206349206349204</v>
      </c>
      <c r="D18" s="861">
        <f>IF(ISNUMBER('Resol  Asuntos'!D18/NºAsuntos!G18),'Resol  Asuntos'!D18/NºAsuntos!G18," - ")</f>
        <v>0.18726379440665156</v>
      </c>
      <c r="E18" s="860">
        <f>IF(ISNUMBER((NºAsuntos!C18+NºAsuntos!E18)/NºAsuntos!G18),(NºAsuntos!C18+NºAsuntos!E18)/NºAsuntos!G18," - ")</f>
        <v>1.652305366591081</v>
      </c>
      <c r="G18" s="462"/>
    </row>
    <row r="19" spans="1:7" ht="15.75" customHeight="1" thickTop="1" thickBot="1">
      <c r="A19" s="792" t="str">
        <f>Datos!A19</f>
        <v>TOTAL JURISDICCIONES</v>
      </c>
      <c r="B19" s="807">
        <f>IF(ISNUMBER(NºAsuntos!G19/NºAsuntos!E19),NºAsuntos!G19/NºAsuntos!E19," - ")</f>
        <v>1.036454235510097</v>
      </c>
      <c r="C19" s="808">
        <f>IF(ISNUMBER(NºAsuntos!I19/NºAsuntos!G19),NºAsuntos!I19/NºAsuntos!G19," - ")</f>
        <v>0.42586032388663969</v>
      </c>
      <c r="D19" s="809">
        <f>IF(ISNUMBER('Resol  Asuntos'!D19/NºAsuntos!G19),'Resol  Asuntos'!D19/NºAsuntos!G19," - ")</f>
        <v>0.25354251012145751</v>
      </c>
      <c r="E19" s="810">
        <f>IF(ISNUMBER((NºAsuntos!C19+NºAsuntos!E19)/NºAsuntos!G19),(NºAsuntos!C19+NºAsuntos!E19)/NºAsuntos!G19," - ")</f>
        <v>1.4603365384615385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YGQdRoPrWVODf3f0v1ACpjDzrn1s/K/jTHUAwvrL2fqjmnASMEJpasT3VQGlXPf8FOhjiIjsKwQUdZ1Ui7F8Q==" saltValue="UVkM+P+iNDCj2EAAwFM0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FERROL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2420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1570</v>
      </c>
      <c r="Y9" s="333">
        <f>SUM(W9:X9)</f>
        <v>1570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8396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2587</v>
      </c>
      <c r="AJ9" s="228" t="str">
        <f>IF(ISNUMBER(Datos!BW9),Datos!BW9," - ")</f>
        <v xml:space="preserve"> - </v>
      </c>
      <c r="AK9" s="227" t="str">
        <f>IF(ISNUMBER(Datos!BX9),Datos!BX9," - ")</f>
        <v xml:space="preserve"> - </v>
      </c>
      <c r="AL9" s="242">
        <f>IF(ISNUMBER(NºAsuntos!G9/NºAsuntos!E9),NºAsuntos!G9/NºAsuntos!E9," - ")</f>
        <v>1.0918641583190813</v>
      </c>
      <c r="AM9" s="259">
        <f>IF(ISNUMBER(((NºAsuntos!I9/NºAsuntos!G9)*11)/factor_trimestre),((NºAsuntos!I9/NºAsuntos!G9)*11)/factor_trimestre," - ")</f>
        <v>4.1646900872678456</v>
      </c>
      <c r="AN9" s="243">
        <f>IF(ISNUMBER('Resol  Asuntos'!D9/NºAsuntos!G9),'Resol  Asuntos'!D9/NºAsuntos!G9," - ")</f>
        <v>0.2894383530991273</v>
      </c>
      <c r="AO9" s="244">
        <f>IF(ISNUMBER((NºAsuntos!C9+NºAsuntos!E9)/NºAsuntos!G9),(NºAsuntos!C9+NºAsuntos!E9)/NºAsuntos!G9," - ")</f>
        <v>1.3579100469903782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137</v>
      </c>
      <c r="G10" s="332">
        <f>IF(ISNUMBER(Datos!I10),Datos!I10," - ")</f>
        <v>137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16</v>
      </c>
      <c r="Y10" s="333">
        <f t="shared" ref="Y10:Y12" si="0">SUM(W10:X10)</f>
        <v>50</v>
      </c>
      <c r="Z10" s="334" t="str">
        <f>IF(ISNUMBER(Datos!CC10),Datos!CC10," - ")</f>
        <v xml:space="preserve"> - </v>
      </c>
      <c r="AA10" s="331">
        <f>IF(ISNUMBER(Datos!L10),Datos!L10,"-")</f>
        <v>161</v>
      </c>
      <c r="AB10" s="333">
        <f>IF(ISNUMBER(Datos!R10),Datos!R10," - ")</f>
        <v>85</v>
      </c>
      <c r="AC10" s="333">
        <f t="shared" ref="AC10:AC12" si="1">IF(ISNUMBER(AA10+AB10),AA10+AB10," - ")</f>
        <v>246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0.58620689655172409</v>
      </c>
      <c r="AM10" s="259">
        <f>IF(ISNUMBER(((NºAsuntos!I10/NºAsuntos!G10)*11)/factor_trimestre),((NºAsuntos!I10/NºAsuntos!G10)*11)/factor_trimestre," - ")</f>
        <v>52.088235294117645</v>
      </c>
      <c r="AN10" s="243">
        <f>IF(ISNUMBER('Resol  Asuntos'!D10/NºAsuntos!G10),'Resol  Asuntos'!D10/NºAsuntos!G10," - ")</f>
        <v>0.52941176470588236</v>
      </c>
      <c r="AO10" s="244">
        <f>IF(ISNUMBER((NºAsuntos!C10+NºAsuntos!E10)/NºAsuntos!G10),(NºAsuntos!C10+NºAsuntos!E10)/NºAsuntos!G10," - ")</f>
        <v>5.7352941176470589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126</v>
      </c>
      <c r="Y11" s="333">
        <f t="shared" si="0"/>
        <v>126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157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412</v>
      </c>
      <c r="AJ11" s="230" t="str">
        <f>IF(ISNUMBER(Datos!BW11),Datos!BW11," - ")</f>
        <v xml:space="preserve"> - </v>
      </c>
      <c r="AK11" s="231" t="str">
        <f>IF(ISNUMBER(Datos!BX11),Datos!BX11," - ")</f>
        <v xml:space="preserve"> - </v>
      </c>
      <c r="AL11" s="242">
        <f>IF(ISNUMBER(NºAsuntos!G11/NºAsuntos!E11),NºAsuntos!G11/NºAsuntos!E11," - ")</f>
        <v>1.0839857651245552</v>
      </c>
      <c r="AM11" s="259">
        <f>IF(ISNUMBER(((NºAsuntos!I11/NºAsuntos!G11)*11)/factor_trimestre),((NºAsuntos!I11/NºAsuntos!G11)*11)/factor_trimestre," - ")</f>
        <v>3.8713066316480633</v>
      </c>
      <c r="AN11" s="243">
        <f>IF(ISNUMBER('Resol  Asuntos'!D11/NºAsuntos!G11),'Resol  Asuntos'!D11/NºAsuntos!G11," - ")</f>
        <v>0.27051871306631647</v>
      </c>
      <c r="AO11" s="244">
        <f>IF(ISNUMBER((NºAsuntos!C11+NºAsuntos!E11)/NºAsuntos!G11),(NºAsuntos!C11+NºAsuntos!E11)/NºAsuntos!G11," - ")</f>
        <v>1.2744583059750492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v>
      </c>
      <c r="Y12" s="333">
        <f t="shared" si="0"/>
        <v>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f>IF(ISNUMBER(((NºAsuntos!I12/NºAsuntos!G12)*11)/factor_trimestre),((NºAsuntos!I12/NºAsuntos!G12)*11)/factor_trimestre," - ")</f>
        <v>24.61904761904762</v>
      </c>
      <c r="AN12" s="243">
        <f>IF(ISNUMBER('Resol  Asuntos'!D12/NºAsuntos!G12),'Resol  Asuntos'!D12/NºAsuntos!G12," - ")</f>
        <v>0</v>
      </c>
      <c r="AO12" s="244">
        <f>IF(ISNUMBER((NºAsuntos!C12+NºAsuntos!E12)/NºAsuntos!G12),(NºAsuntos!C12+NºAsuntos!E12)/NºAsuntos!G12," - ")</f>
        <v>3.2380952380952381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137</v>
      </c>
      <c r="G13" s="865">
        <f t="shared" si="3"/>
        <v>137</v>
      </c>
      <c r="H13" s="864">
        <f t="shared" si="3"/>
        <v>0</v>
      </c>
      <c r="I13" s="866">
        <f t="shared" si="3"/>
        <v>0</v>
      </c>
      <c r="J13" s="866">
        <f t="shared" si="3"/>
        <v>0</v>
      </c>
      <c r="K13" s="866">
        <f t="shared" si="3"/>
        <v>0</v>
      </c>
      <c r="L13" s="866">
        <f t="shared" si="3"/>
        <v>2537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34</v>
      </c>
      <c r="X13" s="866">
        <f t="shared" si="4"/>
        <v>1716</v>
      </c>
      <c r="Y13" s="867">
        <f t="shared" si="4"/>
        <v>1750</v>
      </c>
      <c r="Z13" s="867">
        <f t="shared" si="4"/>
        <v>0</v>
      </c>
      <c r="AA13" s="867">
        <f t="shared" si="4"/>
        <v>161</v>
      </c>
      <c r="AB13" s="867">
        <f t="shared" si="4"/>
        <v>8741</v>
      </c>
      <c r="AC13" s="867">
        <f t="shared" si="4"/>
        <v>246</v>
      </c>
      <c r="AD13" s="867">
        <f t="shared" si="4"/>
        <v>0</v>
      </c>
      <c r="AE13" s="871">
        <f t="shared" si="4"/>
        <v>0</v>
      </c>
      <c r="AF13" s="864">
        <f t="shared" si="4"/>
        <v>0</v>
      </c>
      <c r="AG13" s="872">
        <f t="shared" si="4"/>
        <v>0</v>
      </c>
      <c r="AH13" s="869">
        <f t="shared" si="4"/>
        <v>0</v>
      </c>
      <c r="AI13" s="864">
        <f t="shared" si="4"/>
        <v>3017</v>
      </c>
      <c r="AJ13" s="866">
        <f t="shared" si="4"/>
        <v>0</v>
      </c>
      <c r="AK13" s="869">
        <f>SUBTOTAL(9,AK9:AK12)</f>
        <v>0</v>
      </c>
      <c r="AL13" s="873">
        <f>IF(ISNUMBER(NºAsuntos!G13/NºAsuntos!E13),NºAsuntos!G13/NºAsuntos!E13," - ")</f>
        <v>1.0898538708674474</v>
      </c>
      <c r="AM13" s="873">
        <f>IF(ISNUMBER(((NºAsuntos!I13/NºAsuntos!G13)*11)/factor_trimestre),((NºAsuntos!I13/NºAsuntos!G13)*11)/factor_trimestre," - ")</f>
        <v>4.3179916317991633</v>
      </c>
      <c r="AN13" s="874">
        <f>IF(ISNUMBER('Resol  Asuntos'!D13/NºAsuntos!G13),'Resol  Asuntos'!D13/NºAsuntos!G13," - ")</f>
        <v>0.28689615823507036</v>
      </c>
      <c r="AO13" s="875">
        <f>IF(ISNUMBER((NºAsuntos!C13+NºAsuntos!E13)/NºAsuntos!G13),(NºAsuntos!C13+NºAsuntos!E13)/NºAsuntos!G13," - ")</f>
        <v>1.363731456827691</v>
      </c>
      <c r="AP13" s="876" t="str">
        <f t="shared" si="2"/>
        <v xml:space="preserve"> - </v>
      </c>
      <c r="AQ13" s="876">
        <f>IF(ISNUMBER((H13-W13+K13)/(F13)),(H13-W13+K13)/(F13)," - ")</f>
        <v>-0.24817518248175183</v>
      </c>
      <c r="AR13" s="877">
        <f>IF(ISNUMBER((Datos!P13-Datos!Q13)/(Datos!R13-Datos!P13+Datos!Q13)),(Datos!P13-Datos!Q13)/(Datos!R13-Datos!P13+Datos!Q13)," - ")</f>
        <v>0.10366161616161616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2101</v>
      </c>
      <c r="G15" s="332">
        <f>IF(ISNUMBER(IF(D_I="SI",Datos!I15,Datos!I15+Datos!AC15)),IF(D_I="SI",Datos!I15,Datos!I15+Datos!AC15)," - ")</f>
        <v>2929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260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4722</v>
      </c>
      <c r="X15" s="225">
        <f>IF(ISNUMBER(Datos!Q15),Datos!Q15," - ")</f>
        <v>297</v>
      </c>
      <c r="Y15" s="333">
        <f>SUM(W15)</f>
        <v>4722</v>
      </c>
      <c r="Z15" s="334" t="str">
        <f>IF(ISNUMBER(Datos!CC15),Datos!CC15," - ")</f>
        <v xml:space="preserve"> - </v>
      </c>
      <c r="AA15" s="331">
        <f>IF(ISNUMBER(IF(D_I="SI",Datos!L15,Datos!L15+Datos!AF15)),IF(D_I="SI",Datos!L15,Datos!L15+Datos!AF15)," - ")</f>
        <v>2353</v>
      </c>
      <c r="AB15" s="333">
        <f>IF(ISNUMBER(Datos!R15),Datos!R15," - ")</f>
        <v>283</v>
      </c>
      <c r="AC15" s="333">
        <f t="shared" ref="AC15:AC17" si="6">IF(ISNUMBER(AA15+AB15),AA15+AB15," - ")</f>
        <v>2636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899</v>
      </c>
      <c r="AJ15" s="230" t="str">
        <f>IF(ISNUMBER(Datos!BW15),Datos!BW15," - ")</f>
        <v xml:space="preserve"> - </v>
      </c>
      <c r="AK15" s="231" t="str">
        <f>IF(ISNUMBER(Datos!BX15),Datos!BX15," - ")</f>
        <v xml:space="preserve"> - </v>
      </c>
      <c r="AL15" s="242">
        <f>IF(ISNUMBER(NºAsuntos!G15/NºAsuntos!E15),NºAsuntos!G15/NºAsuntos!E15," - ")</f>
        <v>0.94933655006031359</v>
      </c>
      <c r="AM15" s="259">
        <f>IF(ISNUMBER(((NºAsuntos!I15/NºAsuntos!G15)*11)/factor_trimestre),((NºAsuntos!I15/NºAsuntos!G15)*11)/factor_trimestre," - ")</f>
        <v>5.4813638288860655</v>
      </c>
      <c r="AN15" s="243">
        <f>IF(ISNUMBER('Resol  Asuntos'!D15/NºAsuntos!G15),'Resol  Asuntos'!D15/NºAsuntos!G15," - ")</f>
        <v>0.19038542990258364</v>
      </c>
      <c r="AO15" s="244">
        <f>IF(ISNUMBER((NºAsuntos!C15+NºAsuntos!E15)/NºAsuntos!G15),(NºAsuntos!C15+NºAsuntos!E15)/NºAsuntos!G15," - ")</f>
        <v>1.6736552308343922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570</v>
      </c>
      <c r="X17" s="225">
        <f>IF(ISNUMBER(Datos!Q17),Datos!Q17," - ")</f>
        <v>1</v>
      </c>
      <c r="Y17" s="333">
        <f t="shared" si="7"/>
        <v>571</v>
      </c>
      <c r="Z17" s="334" t="str">
        <f>IF(ISNUMBER(Datos!CC17),Datos!CC17," - ")</f>
        <v xml:space="preserve"> - </v>
      </c>
      <c r="AA17" s="331">
        <f>IF(ISNUMBER(Datos!L17),Datos!L17,"-")</f>
        <v>251</v>
      </c>
      <c r="AB17" s="333">
        <f>IF(ISNUMBER(Datos!R17),Datos!R17," - ")</f>
        <v>7</v>
      </c>
      <c r="AC17" s="333">
        <f t="shared" si="6"/>
        <v>258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0.90620031796502387</v>
      </c>
      <c r="AM17" s="259">
        <f>IF(ISNUMBER(((NºAsuntos!I17/NºAsuntos!G17)*11)/factor_trimestre),((NºAsuntos!I17/NºAsuntos!G17)*11)/factor_trimestre," - ")</f>
        <v>4.8438596491228072</v>
      </c>
      <c r="AN17" s="243">
        <f>IF(ISNUMBER('Resol  Asuntos'!D17/NºAsuntos!G17),'Resol  Asuntos'!D17/NºAsuntos!G17," - ")</f>
        <v>0.16140350877192983</v>
      </c>
      <c r="AO17" s="244">
        <f>IF(ISNUMBER((NºAsuntos!C17+NºAsuntos!E17)/NºAsuntos!G17),(NºAsuntos!C17+NºAsuntos!E17)/NºAsuntos!G17," - ")</f>
        <v>1.475438596491228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2101</v>
      </c>
      <c r="G18" s="865">
        <f>SUBTOTAL(9,G15:G17)</f>
        <v>3141</v>
      </c>
      <c r="H18" s="864">
        <f t="shared" ref="H18:O18" si="10">SUBTOTAL(9,H14:H17)</f>
        <v>0</v>
      </c>
      <c r="I18" s="866">
        <f t="shared" si="10"/>
        <v>0</v>
      </c>
      <c r="J18" s="866">
        <f t="shared" si="10"/>
        <v>0</v>
      </c>
      <c r="K18" s="866">
        <f t="shared" si="10"/>
        <v>0</v>
      </c>
      <c r="L18" s="866">
        <f t="shared" si="10"/>
        <v>265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5292</v>
      </c>
      <c r="X18" s="866">
        <f t="shared" si="11"/>
        <v>298</v>
      </c>
      <c r="Y18" s="867">
        <f t="shared" si="11"/>
        <v>5293</v>
      </c>
      <c r="Z18" s="867">
        <f t="shared" si="11"/>
        <v>0</v>
      </c>
      <c r="AA18" s="867">
        <f t="shared" si="11"/>
        <v>2604</v>
      </c>
      <c r="AB18" s="867">
        <f t="shared" si="11"/>
        <v>290</v>
      </c>
      <c r="AC18" s="867">
        <f t="shared" si="11"/>
        <v>2894</v>
      </c>
      <c r="AD18" s="867">
        <f t="shared" si="11"/>
        <v>0</v>
      </c>
      <c r="AE18" s="871">
        <f t="shared" si="11"/>
        <v>0</v>
      </c>
      <c r="AF18" s="864">
        <f t="shared" si="11"/>
        <v>0</v>
      </c>
      <c r="AG18" s="872">
        <f t="shared" si="11"/>
        <v>0</v>
      </c>
      <c r="AH18" s="869">
        <f t="shared" si="11"/>
        <v>0</v>
      </c>
      <c r="AI18" s="864">
        <f t="shared" si="11"/>
        <v>991</v>
      </c>
      <c r="AJ18" s="866">
        <f t="shared" si="11"/>
        <v>0</v>
      </c>
      <c r="AK18" s="869">
        <f t="shared" si="11"/>
        <v>0</v>
      </c>
      <c r="AL18" s="873">
        <f>IF(ISNUMBER(NºAsuntos!G18/NºAsuntos!E18),NºAsuntos!G18/NºAsuntos!E18," - ")</f>
        <v>0.94449402106014635</v>
      </c>
      <c r="AM18" s="873">
        <f>IF(ISNUMBER(((NºAsuntos!I18/NºAsuntos!G18)*11)/factor_trimestre),((NºAsuntos!I18/NºAsuntos!G18)*11)/factor_trimestre," - ")</f>
        <v>5.4126984126984121</v>
      </c>
      <c r="AN18" s="874">
        <f>IF(ISNUMBER('Resol  Asuntos'!D18/NºAsuntos!G18),'Resol  Asuntos'!D18/NºAsuntos!G18," - ")</f>
        <v>0.18726379440665156</v>
      </c>
      <c r="AO18" s="875">
        <f>IF(ISNUMBER((NºAsuntos!C18+NºAsuntos!E18)/NºAsuntos!G18),(NºAsuntos!C18+NºAsuntos!E18)/NºAsuntos!G18," - ")</f>
        <v>1.652305366591081</v>
      </c>
      <c r="AP18" s="876" t="str">
        <f t="shared" si="2"/>
        <v xml:space="preserve"> - </v>
      </c>
      <c r="AQ18" s="876">
        <f>IF(ISNUMBER((H18-W18+K18)/(F18)),(H18-W18+K18)/(F18)," - ")</f>
        <v>-2.5188005711565919</v>
      </c>
      <c r="AR18" s="877">
        <f>IF(ISNUMBER((Datos!P18-Datos!Q18)/(Datos!R18-Datos!P18+Datos!Q18)),(Datos!P18-Datos!Q18)/(Datos!R18-Datos!P18+Datos!Q18)," - ")</f>
        <v>-0.1021671826625387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2238</v>
      </c>
      <c r="G19" s="820">
        <f t="shared" si="13"/>
        <v>3278</v>
      </c>
      <c r="H19" s="819">
        <f t="shared" si="13"/>
        <v>0</v>
      </c>
      <c r="I19" s="821">
        <f t="shared" si="13"/>
        <v>0</v>
      </c>
      <c r="J19" s="821">
        <f t="shared" si="13"/>
        <v>0</v>
      </c>
      <c r="K19" s="880">
        <f t="shared" si="13"/>
        <v>0</v>
      </c>
      <c r="L19" s="821">
        <f t="shared" si="13"/>
        <v>2802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5326</v>
      </c>
      <c r="X19" s="820">
        <f t="shared" si="14"/>
        <v>2014</v>
      </c>
      <c r="Y19" s="827">
        <f t="shared" si="14"/>
        <v>7043</v>
      </c>
      <c r="Z19" s="827">
        <f t="shared" si="14"/>
        <v>0</v>
      </c>
      <c r="AA19" s="827">
        <f t="shared" si="14"/>
        <v>2765</v>
      </c>
      <c r="AB19" s="827">
        <f t="shared" si="14"/>
        <v>9031</v>
      </c>
      <c r="AC19" s="827">
        <f t="shared" si="14"/>
        <v>3140</v>
      </c>
      <c r="AD19" s="827">
        <f t="shared" si="14"/>
        <v>0</v>
      </c>
      <c r="AE19" s="829">
        <f t="shared" si="14"/>
        <v>0</v>
      </c>
      <c r="AF19" s="830">
        <f t="shared" si="14"/>
        <v>0</v>
      </c>
      <c r="AG19" s="831">
        <f t="shared" si="14"/>
        <v>0</v>
      </c>
      <c r="AH19" s="829">
        <f t="shared" si="14"/>
        <v>0</v>
      </c>
      <c r="AI19" s="819">
        <f t="shared" si="14"/>
        <v>4008</v>
      </c>
      <c r="AJ19" s="819">
        <f t="shared" si="14"/>
        <v>0</v>
      </c>
      <c r="AK19" s="829">
        <f t="shared" si="14"/>
        <v>0</v>
      </c>
      <c r="AL19" s="883">
        <f>IF(ISNUMBER(NºAsuntos!G19/NºAsuntos!E19),NºAsuntos!G19/NºAsuntos!E19," - ")</f>
        <v>1.036454235510097</v>
      </c>
      <c r="AM19" s="884">
        <f>IF(ISNUMBER(((NºAsuntos!I19/NºAsuntos!G19)*11)/factor_trimestre),((NºAsuntos!I19/NºAsuntos!G19)*11)/factor_trimestre," - ")</f>
        <v>4.6844635627530362</v>
      </c>
      <c r="AN19" s="884">
        <f>IF(ISNUMBER('Resol  Asuntos'!D19/NºAsuntos!G19),'Resol  Asuntos'!D19/NºAsuntos!G19," - ")</f>
        <v>0.25354251012145751</v>
      </c>
      <c r="AO19" s="885">
        <f>IF(ISNUMBER((NºAsuntos!C19+NºAsuntos!E19)/NºAsuntos!G19),(NºAsuntos!C19+NºAsuntos!E19)/NºAsuntos!G19," - ")</f>
        <v>1.4603365384615385</v>
      </c>
      <c r="AP19" s="886" t="str">
        <f t="shared" si="2"/>
        <v xml:space="preserve"> - </v>
      </c>
      <c r="AQ19" s="887">
        <f>IF(OR(ISNUMBER(FIND("01",Criterios!A8,1)),ISNUMBER(FIND("02",Criterios!A8,1)),ISNUMBER(FIND("03",Criterios!A8,1)),ISNUMBER(FIND("04",Criterios!A8,1))),(I19-W19+K19)/(F19-K19),(H19-W19+K19)/(F19-K19))</f>
        <v>-2.3798033958891867</v>
      </c>
      <c r="AR19" s="888">
        <f>IF(ISNUMBER((Datos!P19-Datos!Q19)/(Datos!R19-Datos!P19+Datos!Q19)),(Datos!P19-Datos!Q19)/(Datos!R19-Datos!P19+Datos!Q19)," - ")</f>
        <v>9.5596263496299891E-2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1133.9159286884249</v>
      </c>
      <c r="G21" s="252">
        <f>IF(ISNUMBER(STDEV(G8:G18)),STDEV(G8:G18),"-")</f>
        <v>1575.6884844410079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2642.7608291330489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1179.0819673433589</v>
      </c>
      <c r="AJ21" s="251">
        <f t="shared" si="18"/>
        <v>0</v>
      </c>
      <c r="AK21" s="253">
        <f t="shared" si="18"/>
        <v>0</v>
      </c>
      <c r="AL21" s="248">
        <f t="shared" si="18"/>
        <v>0.17885319005996739</v>
      </c>
      <c r="AM21" s="249">
        <f t="shared" si="18"/>
        <v>17.238682586041747</v>
      </c>
      <c r="AN21" s="249">
        <f t="shared" si="18"/>
        <v>0.15040485493957881</v>
      </c>
      <c r="AO21" s="250">
        <f t="shared" si="18"/>
        <v>1.5556065108084172</v>
      </c>
      <c r="AP21" s="290" t="str">
        <f t="shared" si="18"/>
        <v>-</v>
      </c>
      <c r="AQ21" s="291">
        <f t="shared" si="18"/>
        <v>1.6055746098663197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aAD6JDdTPRQ/BZ2Ca43d/xPsK7kB61QtEHQyO4Rb7mFzePenIfVlbi+TZDa6b4UG58AMQFHng4zjFuu8skKFg==" saltValue="9SO1FQIBuZjeccAHSRdq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FERROL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-2.0446800454373342E-2</v>
      </c>
      <c r="I9" s="349">
        <f>IF(ISNUMBER((Tasas!C9-Datos!BE9)/Datos!BE9),(Tasas!C9-Datos!BE9)/Datos!BE9," - ")</f>
        <v>-0.18068842764455312</v>
      </c>
      <c r="J9" s="348">
        <f>IF(ISNUMBER((Tasas!D9-Datos!BF9)/Datos!BF9),(Tasas!D9-Datos!BF9)/Datos!BF9," - ")</f>
        <v>-0.15998033978359191</v>
      </c>
      <c r="K9" s="350">
        <f>IF(ISNUMBER((Tasas!E9-Datos!BG9)/Datos!BG9),(Tasas!E9-Datos!BG9)/Datos!BG9," - ")</f>
        <v>-7.1263826752441153E-2</v>
      </c>
      <c r="M9" t="e">
        <f>IF(Monitorios="SI",Datos!CE9,0)</f>
        <v>#REF!</v>
      </c>
      <c r="N9" t="e">
        <f>IF(Monitorios="SI",Datos!CF9,0)</f>
        <v>#REF!</v>
      </c>
      <c r="O9" t="e">
        <f>IF(Monitorios="SI",Datos!CG9,0)</f>
        <v>#REF!</v>
      </c>
      <c r="P9" t="e">
        <f>IF(Monitorios="SI",Datos!CH9,0)</f>
        <v>#REF!</v>
      </c>
      <c r="Q9">
        <f>IF(J_V="SI",0,Datos!AG9)</f>
        <v>166</v>
      </c>
      <c r="R9">
        <f>IF(J_V="SI",0,Datos!AH9)</f>
        <v>721</v>
      </c>
      <c r="S9">
        <f>IF(J_V="SI",0,Datos!AI9)</f>
        <v>819</v>
      </c>
      <c r="T9">
        <f>IF(J_V="SI",0,Datos!AJ9)</f>
        <v>68</v>
      </c>
    </row>
    <row r="10" spans="2:20" ht="14.25">
      <c r="B10" s="274" t="s">
        <v>242</v>
      </c>
      <c r="C10" s="7" t="str">
        <f>Datos!A10</f>
        <v>Jdos. Violencia contra la mujer/Secc Viol. TI.</v>
      </c>
      <c r="D10" s="351">
        <f>IF(ISNUMBER((Datos!I10-Datos!S10)/Datos!S10),(Datos!I10-Datos!S10)/Datos!S10," - ")</f>
        <v>8.7301587301587297E-2</v>
      </c>
      <c r="E10" s="347">
        <f>IF(ISNUMBER((Datos!J10-Datos!T10)/Datos!T10),(Datos!J10-Datos!T10)/Datos!T10," - ")</f>
        <v>0</v>
      </c>
      <c r="F10" s="347">
        <f>IF(ISNUMBER((Datos!K10-Datos!U10)/Datos!U10),(Datos!K10-Datos!U10)/Datos!U10," - ")</f>
        <v>-0.27659574468085107</v>
      </c>
      <c r="G10" s="348">
        <f>IF(ISNUMBER((Datos!L10-Datos!V10)/Datos!V10),(Datos!L10-Datos!V10)/Datos!V10," - ")</f>
        <v>0.17518248175182483</v>
      </c>
      <c r="H10" s="229">
        <f>IF(ISNUMBER((Datos!M10-Datos!W10)/Datos!W10),(Datos!M10-Datos!W10)/Datos!W10," - ")</f>
        <v>-0.1</v>
      </c>
      <c r="I10" s="349">
        <f>IF(ISNUMBER((Tasas!C10-Datos!BE10)/Datos!BE10),(Tasas!C10-Datos!BE10)/Datos!BE10," - ")</f>
        <v>0.62451696006869906</v>
      </c>
      <c r="J10" s="348">
        <f>IF(ISNUMBER((Tasas!D10-Datos!BF10)/Datos!BF10),(Tasas!D10-Datos!BF10)/Datos!BF10," - ")</f>
        <v>0.24411764705882352</v>
      </c>
      <c r="K10" s="350">
        <f>IF(ISNUMBER((Tasas!E10-Datos!BG10)/Datos!BG10),(Tasas!E10-Datos!BG10)/Datos!BG10," - ")</f>
        <v>0.46499360613810747</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4.5685279187817257E-2</v>
      </c>
      <c r="I11" s="349">
        <f>IF(ISNUMBER((Tasas!C11-Datos!BE11)/Datos!BE11),(Tasas!C11-Datos!BE11)/Datos!BE11," - ")</f>
        <v>5.646749835850292E-2</v>
      </c>
      <c r="J11" s="348">
        <f>IF(ISNUMBER((Tasas!D11-Datos!BF11)/Datos!BF11),(Tasas!D11-Datos!BF11)/Datos!BF11," - ")</f>
        <v>-0.35131950920461519</v>
      </c>
      <c r="K11" s="350">
        <f>IF(ISNUMBER((Tasas!E11-Datos!BG11)/Datos!BG11),(Tasas!E11-Datos!BG11)/Datos!BG11," - ")</f>
        <v>-4.4007732254613449E-2</v>
      </c>
      <c r="M11" t="e">
        <f>IF(Monitorios="SI",Datos!CE11,0)</f>
        <v>#REF!</v>
      </c>
      <c r="N11" t="e">
        <f>IF(Monitorios="SI",Datos!CF11,0)</f>
        <v>#REF!</v>
      </c>
      <c r="O11" t="e">
        <f>IF(Monitorios="SI",Datos!CG11,0)</f>
        <v>#REF!</v>
      </c>
      <c r="P11" t="e">
        <f>IF(Monitorios="SI",Datos!CH11,0)</f>
        <v>#REF!</v>
      </c>
      <c r="Q11">
        <f>IF(J_V="SI",0,Datos!AG11)</f>
        <v>117</v>
      </c>
      <c r="R11">
        <f>IF(J_V="SI",0,Datos!AH11)</f>
        <v>368</v>
      </c>
      <c r="S11">
        <f>IF(J_V="SI",0,Datos!AI11)</f>
        <v>417</v>
      </c>
      <c r="T11">
        <f>IF(J_V="SI",0,Datos!AJ11)</f>
        <v>68</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-1.2438625204582651E-2</v>
      </c>
      <c r="I13" s="356">
        <f>IF(ISNUMBER((Tasas!C13-Datos!BE13)/Datos!BE13),(Tasas!C13-Datos!BE13)/Datos!BE13," - ")</f>
        <v>-0.1461399946884008</v>
      </c>
      <c r="J13" s="354">
        <f>IF(ISNUMBER((Tasas!D13-Datos!BF13)/Datos!BF13),(Tasas!D13-Datos!BF13)/Datos!BF13," - ")</f>
        <v>-0.19492378582701997</v>
      </c>
      <c r="K13" s="357">
        <f>IF(ISNUMBER((Tasas!E13-Datos!BG13)/Datos!BG13),(Tasas!E13-Datos!BG13)/Datos!BG13," - ")</f>
        <v>-6.5764314110389632E-2</v>
      </c>
      <c r="M13" t="e">
        <f>IF(Monitorios="SI",Datos!CE13,0)</f>
        <v>#REF!</v>
      </c>
      <c r="N13" t="e">
        <f>IF(Monitorios="SI",Datos!CF13,0)</f>
        <v>#REF!</v>
      </c>
      <c r="O13" t="e">
        <f>IF(Monitorios="SI",Datos!CG13,0)</f>
        <v>#REF!</v>
      </c>
      <c r="P13" t="e">
        <f>IF(Monitorios="SI",Datos!CH13,0)</f>
        <v>#REF!</v>
      </c>
      <c r="Q13">
        <f>IF(J_V="SI",0,Datos!AG13)</f>
        <v>283</v>
      </c>
      <c r="R13">
        <f>IF(J_V="SI",0,Datos!AH13)</f>
        <v>1089</v>
      </c>
      <c r="S13">
        <f>IF(J_V="SI",0,Datos!AI13)</f>
        <v>1236</v>
      </c>
      <c r="T13">
        <f>IF(J_V="SI",0,Datos!AJ13)</f>
        <v>136</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0.27071583514099784</v>
      </c>
      <c r="E15" s="347">
        <f>IF(ISNUMBER(
   IF(D_I="SI",(Datos!J15-Datos!T15)/Datos!T15,(Datos!J15+Datos!AD15-(Datos!T15+Datos!AL15))/(Datos!T15+Datos!AL15))
     ),IF(D_I="SI",(Datos!J15-Datos!T15)/Datos!T15,(Datos!J15+Datos!AD15-(Datos!T15+Datos!AL15))/(Datos!T15+Datos!AL15))," - ")</f>
        <v>8.5552160628546481E-2</v>
      </c>
      <c r="F15" s="347">
        <f>IF(ISNUMBER(
   IF(D_I="SI",(Datos!K15-Datos!U15)/Datos!U15,(Datos!K15+Datos!AE15-(Datos!U15+Datos!AM15))/(Datos!U15+Datos!AM15))
     ),IF(D_I="SI",(Datos!K15-Datos!U15)/Datos!U15,(Datos!K15+Datos!AE15-(Datos!U15+Datos!AM15))/(Datos!U15+Datos!AM15))," - ")</f>
        <v>0.15142648134601316</v>
      </c>
      <c r="G15" s="348">
        <f>IF(ISNUMBER(
   IF(D_I="SI",(Datos!L15-Datos!V15)/Datos!V15,(Datos!L15+Datos!AF15-(Datos!V15+Datos!AN15))/(Datos!V15+Datos!AN15))
     ),IF(D_I="SI",(Datos!L15-Datos!V15)/Datos!V15,(Datos!L15+Datos!AF15-(Datos!V15+Datos!AN15))/(Datos!V15+Datos!AN15))," - ")</f>
        <v>-0.19665414817343804</v>
      </c>
      <c r="H15" s="229">
        <f>IF(ISNUMBER((Datos!M15-Datos!W15)/Datos!W15),(Datos!M15-Datos!W15)/Datos!W15," - ")</f>
        <v>9.768009768009768E-2</v>
      </c>
      <c r="I15" s="349">
        <f>IF(ISNUMBER((Tasas!C15-Datos!BE15)/Datos!BE15),(Tasas!C15-Datos!BE15)/Datos!BE15," - ")</f>
        <v>-0.30230382500196296</v>
      </c>
      <c r="J15" s="348">
        <f>IF(ISNUMBER((Tasas!D15-Datos!BF15)/Datos!BF15),(Tasas!D15-Datos!BF15)/Datos!BF15," - ")</f>
        <v>-4.6678085432850465E-2</v>
      </c>
      <c r="K15" s="350">
        <f>IF(ISNUMBER((Tasas!E15-Datos!BG15)/Datos!BG15),(Tasas!E15-Datos!BG15)/Datos!BG15," - ")</f>
        <v>-3.3889789963928167E-3</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0.1276595744680851</v>
      </c>
      <c r="E17" s="347">
        <f>IF(ISNUMBER(
   IF(D_I="SI",(Datos!J17-Datos!T17)/Datos!T17,(Datos!J17+Datos!AD17-(Datos!T17+Datos!AL17))/(Datos!T17+Datos!AL17))
     ),IF(D_I="SI",(Datos!J17-Datos!T17)/Datos!T17,(Datos!J17+Datos!AD17-(Datos!T17+Datos!AL17))/(Datos!T17+Datos!AL17))," - ")</f>
        <v>0.96562499999999996</v>
      </c>
      <c r="F17" s="347">
        <f>IF(ISNUMBER(
   IF(D_I="SI",(Datos!K17-Datos!U17)/Datos!U17,(Datos!K17+Datos!AE17-(Datos!U17+Datos!AM17))/(Datos!U17+Datos!AM17))
     ),IF(D_I="SI",(Datos!K17-Datos!U17)/Datos!U17,(Datos!K17+Datos!AE17-(Datos!U17+Datos!AM17))/(Datos!U17+Datos!AM17))," - ")</f>
        <v>0.92567567567567566</v>
      </c>
      <c r="G17" s="348">
        <f>IF(ISNUMBER(
   IF(D_I="SI",(Datos!L17-Datos!V17)/Datos!V17,(Datos!L17+Datos!AF17-(Datos!V17+Datos!AN17))/(Datos!V17+Datos!AN17))
     ),IF(D_I="SI",(Datos!L17-Datos!V17)/Datos!V17,(Datos!L17+Datos!AF17-(Datos!V17+Datos!AN17))/(Datos!V17+Datos!AN17))," - ")</f>
        <v>0.18396226415094338</v>
      </c>
      <c r="H17" s="229">
        <f>IF(ISNUMBER((Datos!M17-Datos!W17)/Datos!W17),(Datos!M17-Datos!W17)/Datos!W17," - ")</f>
        <v>-1.0752688172043012E-2</v>
      </c>
      <c r="I17" s="349">
        <f>IF(ISNUMBER((Tasas!C17-Datos!BE17)/Datos!BE17),(Tasas!C17-Datos!BE17)/Datos!BE17," - ")</f>
        <v>-0.38517047335319432</v>
      </c>
      <c r="J17" s="348">
        <f>IF(ISNUMBER((Tasas!D17-Datos!BF17)/Datos!BF17),(Tasas!D17-Datos!BF17)/Datos!BF17," - ")</f>
        <v>-0.48628560648934166</v>
      </c>
      <c r="K17" s="350">
        <f>IF(ISNUMBER((Tasas!E17-Datos!BG17)/Datos!BG17),(Tasas!E17-Datos!BG17)/Datos!BG17," - ")</f>
        <v>-0.14029562094211911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0.25992779783393499</v>
      </c>
      <c r="E18" s="353">
        <f>IF(ISNUMBER(
   IF(D_I="SI",(Datos!J18-Datos!T18)/Datos!T18,(Datos!J18+Datos!AD18-(Datos!T18+Datos!AL18))/(Datos!T18+Datos!AL18))
     ),IF(D_I="SI",(Datos!J18-Datos!T18)/Datos!T18,(Datos!J18+Datos!AD18-(Datos!T18+Datos!AL18))/(Datos!T18+Datos!AL18))," - ")</f>
        <v>0.14300285597715218</v>
      </c>
      <c r="F18" s="353">
        <f>IF(ISNUMBER(
   IF(D_I="SI",(Datos!K18-Datos!U18)/Datos!U18,(Datos!K18+Datos!AE18-(Datos!U18+Datos!AM18))/(Datos!U18+Datos!AM18))
     ),IF(D_I="SI",(Datos!K18-Datos!U18)/Datos!U18,(Datos!K18+Datos!AE18-(Datos!U18+Datos!AM18))/(Datos!U18+Datos!AM18))," - ")</f>
        <v>0.20354787355014783</v>
      </c>
      <c r="G18" s="354">
        <f>IF(ISNUMBER(
   IF(D_I="SI",(Datos!L18-Datos!V18)/Datos!V18,(Datos!L18+Datos!AF18-(Datos!V18+Datos!AN18))/(Datos!V18+Datos!AN18))
     ),IF(D_I="SI",(Datos!L18-Datos!V18)/Datos!V18,(Datos!L18+Datos!AF18-(Datos!V18+Datos!AN18))/(Datos!V18+Datos!AN18))," - ")</f>
        <v>-0.17096466093600765</v>
      </c>
      <c r="H18" s="355">
        <f>IF(ISNUMBER((Datos!M18-Datos!W18)/Datos!W18),(Datos!M18-Datos!W18)/Datos!W18," - ")</f>
        <v>8.6622807017543865E-2</v>
      </c>
      <c r="I18" s="356">
        <f>IF(ISNUMBER((Tasas!C18-Datos!BE18)/Datos!BE18),(Tasas!C18-Datos!BE18)/Datos!BE18," - ")</f>
        <v>-0.31117377440204563</v>
      </c>
      <c r="J18" s="354">
        <f>IF(ISNUMBER((Tasas!D18-Datos!BF18)/Datos!BF18),(Tasas!D18-Datos!BF18)/Datos!BF18," - ")</f>
        <v>-9.7150324554773099E-2</v>
      </c>
      <c r="K18" s="357">
        <f>IF(ISNUMBER((Tasas!E18-Datos!BG18)/Datos!BG18),(Tasas!E18-Datos!BG18)/Datos!BG18," - ")</f>
        <v>-1.7554199202030687E-2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0.14769230769230771</v>
      </c>
      <c r="E19" s="362">
        <f>IF(ISNUMBER(
   IF(J_V="SI",(Datos!J19-Datos!T19)/Datos!T19,(Datos!J19+Datos!Z19-(Datos!T19+Datos!AH19))/(Datos!T19+Datos!AH19))
     ),IF(J_V="SI",(Datos!J19-Datos!T19)/Datos!T19,(Datos!J19+Datos!Z19-(Datos!T19+Datos!AH19))/(Datos!T19+Datos!AH19))," - ")</f>
        <v>-1.3964313421256789E-2</v>
      </c>
      <c r="F19" s="362">
        <f>IF(ISNUMBER(
   IF(J_V="SI",(Datos!K19-Datos!U19)/Datos!U19,(Datos!K19+Datos!AA19-(Datos!U19+Datos!AI19))/(Datos!U19+Datos!AI19))
     ),IF(J_V="SI",(Datos!K19-Datos!U19)/Datos!U19,(Datos!K19+Datos!AA19-(Datos!U19+Datos!AI19))/(Datos!U19+Datos!AI19))," - ")</f>
        <v>8.2517290967609389E-2</v>
      </c>
      <c r="G19" s="363">
        <f>IF(ISNUMBER(
   IF(J_V="SI",(Datos!L19-Datos!V19)/Datos!V19,(Datos!L19+Datos!AB19-(Datos!V19+Datos!AJ19))/(Datos!V19+Datos!AJ19))
     ),IF(J_V="SI",(Datos!L19-Datos!V19)/Datos!V19,(Datos!L19+Datos!AB19-(Datos!V19+Datos!AJ19))/(Datos!V19+Datos!AJ19))," - ")</f>
        <v>-0.14055917273075449</v>
      </c>
      <c r="H19" s="364">
        <f>IF(ISNUMBER((Datos!M19-Datos!W19)/Datos!W19),(Datos!M19-Datos!W19)/Datos!W19," - ")</f>
        <v>1.0335265944038316E-2</v>
      </c>
      <c r="I19" s="361">
        <f>IF(ISNUMBER((Tasas!C19-Datos!BE19)/Datos!BE19),(Tasas!C19-Datos!BE19)/Datos!BE19," - ")</f>
        <v>-0.20607196352398838</v>
      </c>
      <c r="J19" s="362">
        <f>IF(ISNUMBER((Tasas!D19-Datos!BF19)/Datos!BF19),(Tasas!D19-Datos!BF19)/Datos!BF19," - ")</f>
        <v>-0.18608897003656977</v>
      </c>
      <c r="K19" s="363">
        <f>IF(ISNUMBER((Tasas!E19-Datos!BG19)/Datos!BG19),(Tasas!E19-Datos!BG19)/Datos!BG19," - ")</f>
        <v>-4.3408492748672346E-2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9.2711793739343878E-2</v>
      </c>
      <c r="E21" s="277">
        <f t="shared" si="1"/>
        <v>0.44858449654282456</v>
      </c>
      <c r="F21" s="277">
        <f t="shared" si="1"/>
        <v>0.49856832575511667</v>
      </c>
      <c r="G21" s="278">
        <f t="shared" si="1"/>
        <v>0.21009111784354173</v>
      </c>
      <c r="H21" s="284">
        <f t="shared" si="1"/>
        <v>6.9228218722174481E-2</v>
      </c>
      <c r="I21" s="276">
        <f t="shared" si="1"/>
        <v>0.3474789351923247</v>
      </c>
      <c r="J21" s="277">
        <f t="shared" si="1"/>
        <v>0.23247863221374337</v>
      </c>
      <c r="K21" s="278">
        <f t="shared" si="1"/>
        <v>0.20224172379930466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LuJLxW90YTcB6nv4aSuNs+1+rtRc29Q5UyjiP6NirrT4WuMBfJOWlhJyqSUNwPPShXagDWzpb0TlDXVZ+lBJg==" saltValue="lkveS33RfaXmCY/DGoCj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